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ustomProperty3.bin" ContentType="application/vnd.openxmlformats-officedocument.spreadsheetml.customProperty"/>
  <Override PartName="/xl/pivotTables/pivotTable7.xml" ContentType="application/vnd.openxmlformats-officedocument.spreadsheetml.pivotTable+xml"/>
  <Override PartName="/xl/customProperty4.bin" ContentType="application/vnd.openxmlformats-officedocument.spreadsheetml.customProperty"/>
  <Override PartName="/xl/pivotTables/pivotTable8.xml" ContentType="application/vnd.openxmlformats-officedocument.spreadsheetml.pivotTable+xml"/>
  <Override PartName="/xl/customProperty5.bin" ContentType="application/vnd.openxmlformats-officedocument.spreadsheetml.customProperty"/>
  <Override PartName="/xl/pivotTables/pivotTable9.xml" ContentType="application/vnd.openxmlformats-officedocument.spreadsheetml.pivotTable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 filterPrivacy="1" hidePivotFieldList="1"/>
  <xr:revisionPtr revIDLastSave="22" documentId="8_{7B06A339-FFAF-48DC-B7F6-C48E4D096365}" xr6:coauthVersionLast="47" xr6:coauthVersionMax="47" xr10:uidLastSave="{4F96EB30-7D3E-4E39-8C66-2432497E0947}"/>
  <bookViews>
    <workbookView xWindow="3990" yWindow="780" windowWidth="41535" windowHeight="15375" tabRatio="1000" xr2:uid="{2F98FC40-AE88-4743-9C21-145562ED35F8}"/>
  </bookViews>
  <sheets>
    <sheet name="SUMMARY Aldalzabal" sheetId="1" r:id="rId1"/>
    <sheet name="SUMMARY Stryker" sheetId="4" r:id="rId2"/>
    <sheet name="SABRA" sheetId="2" r:id="rId3"/>
    <sheet name="Aldazabal Project Summary" sheetId="6" r:id="rId4"/>
    <sheet name="Stryker Project Summary" sheetId="7" r:id="rId5"/>
    <sheet name="RECON AFUDC" sheetId="10" state="hidden" r:id="rId6"/>
    <sheet name="RECON Rate Base" sheetId="11" r:id="rId7"/>
    <sheet name="Bucket Details" sheetId="8" r:id="rId8"/>
    <sheet name="SABRA RECON" sheetId="5" state="hidden" r:id="rId9"/>
    <sheet name="SABRA BU" sheetId="3" state="hidden" r:id="rId10"/>
  </sheets>
  <definedNames>
    <definedName name="_xlnm._FilterDatabase" localSheetId="7" hidden="1">'Bucket Details'!$A$1:$R$584</definedName>
    <definedName name="_xlnm.Print_Area" localSheetId="2">SABRA!$A$1:$E$13</definedName>
  </definedNames>
  <calcPr calcId="191028"/>
  <pivotCaches>
    <pivotCache cacheId="9477" r:id="rId11"/>
    <pivotCache cacheId="9478" r:id="rId12"/>
    <pivotCache cacheId="9479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7" i="8" l="1"/>
  <c r="J586" i="8"/>
  <c r="J585" i="8"/>
  <c r="H587" i="8"/>
  <c r="H586" i="8"/>
  <c r="H585" i="8"/>
  <c r="K587" i="8"/>
  <c r="K586" i="8"/>
  <c r="L586" i="8"/>
  <c r="L567" i="8"/>
  <c r="L566" i="8"/>
  <c r="L565" i="8"/>
  <c r="L564" i="8"/>
  <c r="L563" i="8"/>
  <c r="L562" i="8"/>
  <c r="L585" i="8"/>
  <c r="L573" i="8"/>
  <c r="K585" i="8"/>
  <c r="K562" i="8"/>
  <c r="K558" i="8"/>
  <c r="K560" i="8"/>
  <c r="C20" i="1"/>
  <c r="H582" i="8"/>
  <c r="J582" i="8" s="1"/>
  <c r="L582" i="8" s="1"/>
  <c r="H581" i="8"/>
  <c r="J581" i="8" s="1"/>
  <c r="L581" i="8" s="1"/>
  <c r="H580" i="8"/>
  <c r="J580" i="8" s="1"/>
  <c r="L580" i="8" s="1"/>
  <c r="H579" i="8"/>
  <c r="J579" i="8" s="1"/>
  <c r="L579" i="8" s="1"/>
  <c r="H578" i="8"/>
  <c r="J578" i="8" s="1"/>
  <c r="L578" i="8" s="1"/>
  <c r="B79" i="6"/>
  <c r="B74" i="6"/>
  <c r="B73" i="6"/>
  <c r="B71" i="6"/>
  <c r="B70" i="6"/>
  <c r="F74" i="6"/>
  <c r="E74" i="6"/>
  <c r="D74" i="6"/>
  <c r="C74" i="6"/>
  <c r="B72" i="6"/>
  <c r="H577" i="8"/>
  <c r="J577" i="8" s="1"/>
  <c r="L577" i="8" s="1"/>
  <c r="L587" i="8" l="1"/>
  <c r="B75" i="6"/>
  <c r="B77" i="6"/>
  <c r="A20" i="1" l="1"/>
  <c r="F79" i="6"/>
  <c r="E79" i="6"/>
  <c r="D79" i="6"/>
  <c r="C79" i="6"/>
  <c r="E25" i="10"/>
  <c r="E27" i="10" s="1"/>
  <c r="D25" i="10"/>
  <c r="D27" i="10" s="1"/>
  <c r="C25" i="10"/>
  <c r="C27" i="10" s="1"/>
  <c r="B25" i="10"/>
  <c r="B27" i="10" s="1"/>
  <c r="E22" i="10"/>
  <c r="D22" i="10"/>
  <c r="C22" i="10"/>
  <c r="B22" i="10"/>
  <c r="E19" i="10"/>
  <c r="D19" i="10"/>
  <c r="C19" i="10"/>
  <c r="B19" i="10"/>
  <c r="H231" i="8"/>
  <c r="C6" i="1"/>
  <c r="G7" i="4" l="1"/>
  <c r="E7" i="4"/>
  <c r="D7" i="4"/>
  <c r="C7" i="4"/>
  <c r="G8" i="4"/>
  <c r="E8" i="4"/>
  <c r="D8" i="4"/>
  <c r="C8" i="4"/>
  <c r="G6" i="4"/>
  <c r="E6" i="4"/>
  <c r="D6" i="4"/>
  <c r="C6" i="4"/>
  <c r="A19" i="1"/>
  <c r="A18" i="1"/>
  <c r="A17" i="1"/>
  <c r="A16" i="1"/>
  <c r="A15" i="1"/>
  <c r="A14" i="1"/>
  <c r="A13" i="1"/>
  <c r="G20" i="1"/>
  <c r="G19" i="1"/>
  <c r="G18" i="1"/>
  <c r="G17" i="1"/>
  <c r="G16" i="1"/>
  <c r="G15" i="1"/>
  <c r="G14" i="1"/>
  <c r="G13" i="1"/>
  <c r="E13" i="1"/>
  <c r="D13" i="1"/>
  <c r="E20" i="1"/>
  <c r="D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C13" i="1"/>
  <c r="M47" i="6"/>
  <c r="L47" i="6"/>
  <c r="K47" i="6"/>
  <c r="J47" i="6"/>
  <c r="I47" i="6"/>
  <c r="C21" i="1" l="1"/>
  <c r="F7" i="4"/>
  <c r="H7" i="4" s="1"/>
  <c r="D72" i="6"/>
  <c r="E27" i="1" s="1"/>
  <c r="C26" i="1"/>
  <c r="C25" i="1"/>
  <c r="E6" i="1"/>
  <c r="D6" i="1"/>
  <c r="G4" i="1"/>
  <c r="E4" i="1"/>
  <c r="D4" i="1"/>
  <c r="C7" i="1"/>
  <c r="C4" i="1"/>
  <c r="G6" i="1"/>
  <c r="G7" i="1"/>
  <c r="E7" i="1"/>
  <c r="D7" i="1"/>
  <c r="P576" i="8" l="1"/>
  <c r="H576" i="8"/>
  <c r="J576" i="8" s="1"/>
  <c r="L576" i="8" s="1"/>
  <c r="H575" i="8"/>
  <c r="J575" i="8" s="1"/>
  <c r="H574" i="8"/>
  <c r="J574" i="8" s="1"/>
  <c r="H573" i="8"/>
  <c r="J573" i="8" s="1"/>
  <c r="P572" i="8"/>
  <c r="H572" i="8"/>
  <c r="J572" i="8" s="1"/>
  <c r="L572" i="8" s="1"/>
  <c r="P571" i="8"/>
  <c r="H571" i="8"/>
  <c r="J571" i="8" s="1"/>
  <c r="L571" i="8" s="1"/>
  <c r="P570" i="8"/>
  <c r="H570" i="8"/>
  <c r="J570" i="8" s="1"/>
  <c r="L570" i="8" s="1"/>
  <c r="P569" i="8"/>
  <c r="H569" i="8"/>
  <c r="J569" i="8" s="1"/>
  <c r="L569" i="8" s="1"/>
  <c r="P568" i="8"/>
  <c r="H568" i="8"/>
  <c r="J568" i="8" s="1"/>
  <c r="L568" i="8" s="1"/>
  <c r="H567" i="8"/>
  <c r="J567" i="8" s="1"/>
  <c r="H566" i="8"/>
  <c r="J566" i="8" s="1"/>
  <c r="H565" i="8"/>
  <c r="J565" i="8" s="1"/>
  <c r="H564" i="8"/>
  <c r="J564" i="8" s="1"/>
  <c r="H563" i="8"/>
  <c r="J563" i="8" s="1"/>
  <c r="H562" i="8"/>
  <c r="J562" i="8" s="1"/>
  <c r="P561" i="8"/>
  <c r="K561" i="8"/>
  <c r="H561" i="8"/>
  <c r="J561" i="8" s="1"/>
  <c r="P560" i="8"/>
  <c r="H560" i="8"/>
  <c r="J560" i="8" s="1"/>
  <c r="L560" i="8" s="1"/>
  <c r="P559" i="8"/>
  <c r="H559" i="8"/>
  <c r="J559" i="8" s="1"/>
  <c r="L559" i="8" s="1"/>
  <c r="H558" i="8"/>
  <c r="J558" i="8" s="1"/>
  <c r="H557" i="8"/>
  <c r="J557" i="8" s="1"/>
  <c r="H556" i="8"/>
  <c r="J556" i="8" s="1"/>
  <c r="H555" i="8"/>
  <c r="J555" i="8" s="1"/>
  <c r="H554" i="8"/>
  <c r="J554" i="8" s="1"/>
  <c r="H553" i="8"/>
  <c r="J553" i="8" s="1"/>
  <c r="H552" i="8"/>
  <c r="J552" i="8" s="1"/>
  <c r="H551" i="8"/>
  <c r="J551" i="8" s="1"/>
  <c r="H550" i="8"/>
  <c r="J550" i="8" s="1"/>
  <c r="H549" i="8"/>
  <c r="J549" i="8" s="1"/>
  <c r="H548" i="8"/>
  <c r="J548" i="8" s="1"/>
  <c r="H547" i="8"/>
  <c r="J547" i="8" s="1"/>
  <c r="H546" i="8"/>
  <c r="J546" i="8" s="1"/>
  <c r="H545" i="8"/>
  <c r="J545" i="8" s="1"/>
  <c r="P544" i="8"/>
  <c r="H544" i="8"/>
  <c r="J544" i="8" s="1"/>
  <c r="L544" i="8" s="1"/>
  <c r="P543" i="8"/>
  <c r="H543" i="8"/>
  <c r="J543" i="8" s="1"/>
  <c r="L543" i="8" s="1"/>
  <c r="P542" i="8"/>
  <c r="H542" i="8"/>
  <c r="J542" i="8" s="1"/>
  <c r="L542" i="8" s="1"/>
  <c r="P541" i="8"/>
  <c r="K541" i="8"/>
  <c r="H541" i="8"/>
  <c r="J541" i="8" s="1"/>
  <c r="H540" i="8"/>
  <c r="J540" i="8" s="1"/>
  <c r="H539" i="8"/>
  <c r="J539" i="8" s="1"/>
  <c r="H538" i="8"/>
  <c r="J538" i="8" s="1"/>
  <c r="H537" i="8"/>
  <c r="J537" i="8" s="1"/>
  <c r="H536" i="8"/>
  <c r="J536" i="8" s="1"/>
  <c r="H535" i="8"/>
  <c r="J535" i="8" s="1"/>
  <c r="H534" i="8"/>
  <c r="J534" i="8" s="1"/>
  <c r="H533" i="8"/>
  <c r="J533" i="8" s="1"/>
  <c r="H532" i="8"/>
  <c r="J532" i="8" s="1"/>
  <c r="P531" i="8"/>
  <c r="H531" i="8"/>
  <c r="J531" i="8" s="1"/>
  <c r="L531" i="8" s="1"/>
  <c r="P530" i="8"/>
  <c r="H530" i="8"/>
  <c r="J530" i="8" s="1"/>
  <c r="L530" i="8" s="1"/>
  <c r="H529" i="8"/>
  <c r="J529" i="8" s="1"/>
  <c r="H528" i="8"/>
  <c r="J528" i="8" s="1"/>
  <c r="H527" i="8"/>
  <c r="J527" i="8" s="1"/>
  <c r="P526" i="8"/>
  <c r="H526" i="8"/>
  <c r="J526" i="8" s="1"/>
  <c r="L526" i="8" s="1"/>
  <c r="H525" i="8"/>
  <c r="J525" i="8" s="1"/>
  <c r="P524" i="8"/>
  <c r="H524" i="8"/>
  <c r="J524" i="8" s="1"/>
  <c r="L524" i="8" s="1"/>
  <c r="P523" i="8"/>
  <c r="H523" i="8"/>
  <c r="J523" i="8" s="1"/>
  <c r="L523" i="8" s="1"/>
  <c r="H522" i="8"/>
  <c r="J522" i="8" s="1"/>
  <c r="H521" i="8"/>
  <c r="J521" i="8" s="1"/>
  <c r="H520" i="8"/>
  <c r="J520" i="8" s="1"/>
  <c r="H519" i="8"/>
  <c r="J519" i="8" s="1"/>
  <c r="H518" i="8"/>
  <c r="J518" i="8" s="1"/>
  <c r="P517" i="8"/>
  <c r="H517" i="8"/>
  <c r="J517" i="8" s="1"/>
  <c r="L517" i="8" s="1"/>
  <c r="H516" i="8"/>
  <c r="J516" i="8" s="1"/>
  <c r="H515" i="8"/>
  <c r="J515" i="8" s="1"/>
  <c r="P514" i="8"/>
  <c r="H514" i="8"/>
  <c r="J514" i="8" s="1"/>
  <c r="L514" i="8" s="1"/>
  <c r="H513" i="8"/>
  <c r="J513" i="8" s="1"/>
  <c r="H512" i="8"/>
  <c r="J512" i="8" s="1"/>
  <c r="H511" i="8"/>
  <c r="J511" i="8" s="1"/>
  <c r="H510" i="8"/>
  <c r="J510" i="8" s="1"/>
  <c r="H509" i="8"/>
  <c r="J509" i="8" s="1"/>
  <c r="H508" i="8"/>
  <c r="J508" i="8" s="1"/>
  <c r="H507" i="8"/>
  <c r="J507" i="8" s="1"/>
  <c r="H506" i="8"/>
  <c r="J506" i="8" s="1"/>
  <c r="H505" i="8"/>
  <c r="J505" i="8" s="1"/>
  <c r="H504" i="8"/>
  <c r="J504" i="8" s="1"/>
  <c r="H503" i="8"/>
  <c r="J503" i="8" s="1"/>
  <c r="H502" i="8"/>
  <c r="J502" i="8" s="1"/>
  <c r="H501" i="8"/>
  <c r="J501" i="8" s="1"/>
  <c r="H500" i="8"/>
  <c r="J500" i="8" s="1"/>
  <c r="H499" i="8"/>
  <c r="J499" i="8" s="1"/>
  <c r="H498" i="8"/>
  <c r="J498" i="8" s="1"/>
  <c r="H497" i="8"/>
  <c r="J497" i="8" s="1"/>
  <c r="P496" i="8"/>
  <c r="H496" i="8"/>
  <c r="J496" i="8" s="1"/>
  <c r="L496" i="8" s="1"/>
  <c r="H495" i="8"/>
  <c r="J495" i="8" s="1"/>
  <c r="P494" i="8"/>
  <c r="H494" i="8"/>
  <c r="J494" i="8" s="1"/>
  <c r="L494" i="8" s="1"/>
  <c r="P493" i="8"/>
  <c r="H493" i="8"/>
  <c r="J493" i="8" s="1"/>
  <c r="L493" i="8" s="1"/>
  <c r="H492" i="8"/>
  <c r="J492" i="8" s="1"/>
  <c r="H491" i="8"/>
  <c r="J491" i="8" s="1"/>
  <c r="P490" i="8"/>
  <c r="H490" i="8"/>
  <c r="J490" i="8" s="1"/>
  <c r="L490" i="8" s="1"/>
  <c r="P489" i="8"/>
  <c r="H489" i="8"/>
  <c r="J489" i="8" s="1"/>
  <c r="L489" i="8" s="1"/>
  <c r="P488" i="8"/>
  <c r="H488" i="8"/>
  <c r="J488" i="8" s="1"/>
  <c r="L488" i="8" s="1"/>
  <c r="P487" i="8"/>
  <c r="H487" i="8"/>
  <c r="J487" i="8" s="1"/>
  <c r="L487" i="8" s="1"/>
  <c r="H486" i="8"/>
  <c r="J486" i="8" s="1"/>
  <c r="H485" i="8"/>
  <c r="J485" i="8" s="1"/>
  <c r="P484" i="8"/>
  <c r="H484" i="8"/>
  <c r="J484" i="8" s="1"/>
  <c r="L484" i="8" s="1"/>
  <c r="P483" i="8"/>
  <c r="H483" i="8"/>
  <c r="J483" i="8" s="1"/>
  <c r="L483" i="8" s="1"/>
  <c r="H482" i="8"/>
  <c r="J482" i="8" s="1"/>
  <c r="H481" i="8"/>
  <c r="J481" i="8" s="1"/>
  <c r="H480" i="8"/>
  <c r="J480" i="8" s="1"/>
  <c r="H479" i="8"/>
  <c r="J479" i="8" s="1"/>
  <c r="H478" i="8"/>
  <c r="J478" i="8" s="1"/>
  <c r="H477" i="8"/>
  <c r="J477" i="8" s="1"/>
  <c r="H476" i="8"/>
  <c r="J476" i="8" s="1"/>
  <c r="H475" i="8"/>
  <c r="J475" i="8" s="1"/>
  <c r="H474" i="8"/>
  <c r="J474" i="8" s="1"/>
  <c r="H473" i="8"/>
  <c r="J473" i="8" s="1"/>
  <c r="H472" i="8"/>
  <c r="J472" i="8" s="1"/>
  <c r="H471" i="8"/>
  <c r="J471" i="8" s="1"/>
  <c r="H470" i="8"/>
  <c r="J470" i="8" s="1"/>
  <c r="H469" i="8"/>
  <c r="J469" i="8" s="1"/>
  <c r="H468" i="8"/>
  <c r="J468" i="8" s="1"/>
  <c r="H467" i="8"/>
  <c r="J467" i="8" s="1"/>
  <c r="H466" i="8"/>
  <c r="J466" i="8" s="1"/>
  <c r="H465" i="8"/>
  <c r="J465" i="8" s="1"/>
  <c r="H464" i="8"/>
  <c r="J464" i="8" s="1"/>
  <c r="H463" i="8"/>
  <c r="J463" i="8" s="1"/>
  <c r="H462" i="8"/>
  <c r="J462" i="8" s="1"/>
  <c r="H461" i="8"/>
  <c r="J461" i="8" s="1"/>
  <c r="H460" i="8"/>
  <c r="J460" i="8" s="1"/>
  <c r="H459" i="8"/>
  <c r="J459" i="8" s="1"/>
  <c r="H458" i="8"/>
  <c r="J458" i="8" s="1"/>
  <c r="H457" i="8"/>
  <c r="J457" i="8" s="1"/>
  <c r="H456" i="8"/>
  <c r="J456" i="8" s="1"/>
  <c r="H455" i="8"/>
  <c r="J455" i="8" s="1"/>
  <c r="H454" i="8"/>
  <c r="J454" i="8" s="1"/>
  <c r="H453" i="8"/>
  <c r="J453" i="8" s="1"/>
  <c r="H452" i="8"/>
  <c r="J452" i="8" s="1"/>
  <c r="H451" i="8"/>
  <c r="J451" i="8" s="1"/>
  <c r="H450" i="8"/>
  <c r="J450" i="8" s="1"/>
  <c r="H449" i="8"/>
  <c r="J449" i="8" s="1"/>
  <c r="H448" i="8"/>
  <c r="J448" i="8" s="1"/>
  <c r="H447" i="8"/>
  <c r="J447" i="8" s="1"/>
  <c r="H446" i="8"/>
  <c r="J446" i="8" s="1"/>
  <c r="H445" i="8"/>
  <c r="J445" i="8" s="1"/>
  <c r="H444" i="8"/>
  <c r="J444" i="8" s="1"/>
  <c r="H443" i="8"/>
  <c r="J443" i="8" s="1"/>
  <c r="H442" i="8"/>
  <c r="J442" i="8" s="1"/>
  <c r="H441" i="8"/>
  <c r="J441" i="8" s="1"/>
  <c r="H440" i="8"/>
  <c r="J440" i="8" s="1"/>
  <c r="H439" i="8"/>
  <c r="J439" i="8" s="1"/>
  <c r="H438" i="8"/>
  <c r="J438" i="8" s="1"/>
  <c r="H437" i="8"/>
  <c r="J437" i="8" s="1"/>
  <c r="H436" i="8"/>
  <c r="J436" i="8" s="1"/>
  <c r="H435" i="8"/>
  <c r="J435" i="8" s="1"/>
  <c r="P434" i="8"/>
  <c r="H434" i="8"/>
  <c r="J434" i="8" s="1"/>
  <c r="L434" i="8" s="1"/>
  <c r="H433" i="8"/>
  <c r="J433" i="8" s="1"/>
  <c r="H432" i="8"/>
  <c r="J432" i="8" s="1"/>
  <c r="H431" i="8"/>
  <c r="J431" i="8" s="1"/>
  <c r="H430" i="8"/>
  <c r="J430" i="8" s="1"/>
  <c r="H429" i="8"/>
  <c r="J429" i="8" s="1"/>
  <c r="H428" i="8"/>
  <c r="J428" i="8" s="1"/>
  <c r="H427" i="8"/>
  <c r="J427" i="8" s="1"/>
  <c r="H426" i="8"/>
  <c r="J426" i="8" s="1"/>
  <c r="P425" i="8"/>
  <c r="H425" i="8"/>
  <c r="J425" i="8" s="1"/>
  <c r="L425" i="8" s="1"/>
  <c r="H424" i="8"/>
  <c r="J424" i="8" s="1"/>
  <c r="H423" i="8"/>
  <c r="J423" i="8" s="1"/>
  <c r="H422" i="8"/>
  <c r="J422" i="8" s="1"/>
  <c r="H421" i="8"/>
  <c r="J421" i="8" s="1"/>
  <c r="H420" i="8"/>
  <c r="J420" i="8" s="1"/>
  <c r="H419" i="8"/>
  <c r="J419" i="8" s="1"/>
  <c r="H418" i="8"/>
  <c r="J418" i="8" s="1"/>
  <c r="H417" i="8"/>
  <c r="J417" i="8" s="1"/>
  <c r="H416" i="8"/>
  <c r="J416" i="8" s="1"/>
  <c r="H415" i="8"/>
  <c r="J415" i="8" s="1"/>
  <c r="H414" i="8"/>
  <c r="J414" i="8" s="1"/>
  <c r="H413" i="8"/>
  <c r="J413" i="8" s="1"/>
  <c r="H412" i="8"/>
  <c r="J412" i="8" s="1"/>
  <c r="H411" i="8"/>
  <c r="J411" i="8" s="1"/>
  <c r="H410" i="8"/>
  <c r="J410" i="8" s="1"/>
  <c r="H409" i="8"/>
  <c r="J409" i="8" s="1"/>
  <c r="H408" i="8"/>
  <c r="J408" i="8" s="1"/>
  <c r="H407" i="8"/>
  <c r="J407" i="8" s="1"/>
  <c r="H406" i="8"/>
  <c r="J406" i="8" s="1"/>
  <c r="H405" i="8"/>
  <c r="J405" i="8" s="1"/>
  <c r="H404" i="8"/>
  <c r="J404" i="8" s="1"/>
  <c r="H403" i="8"/>
  <c r="J403" i="8" s="1"/>
  <c r="H402" i="8"/>
  <c r="J402" i="8" s="1"/>
  <c r="H401" i="8"/>
  <c r="J401" i="8" s="1"/>
  <c r="H400" i="8"/>
  <c r="J400" i="8" s="1"/>
  <c r="H399" i="8"/>
  <c r="J399" i="8" s="1"/>
  <c r="H398" i="8"/>
  <c r="J398" i="8" s="1"/>
  <c r="H397" i="8"/>
  <c r="J397" i="8" s="1"/>
  <c r="H396" i="8"/>
  <c r="J396" i="8" s="1"/>
  <c r="H395" i="8"/>
  <c r="J395" i="8" s="1"/>
  <c r="H394" i="8"/>
  <c r="J394" i="8" s="1"/>
  <c r="H393" i="8"/>
  <c r="J393" i="8" s="1"/>
  <c r="H392" i="8"/>
  <c r="J392" i="8" s="1"/>
  <c r="H391" i="8"/>
  <c r="J391" i="8" s="1"/>
  <c r="H390" i="8"/>
  <c r="J390" i="8" s="1"/>
  <c r="H389" i="8"/>
  <c r="J389" i="8" s="1"/>
  <c r="H388" i="8"/>
  <c r="J388" i="8" s="1"/>
  <c r="H387" i="8"/>
  <c r="J387" i="8" s="1"/>
  <c r="H386" i="8"/>
  <c r="J386" i="8" s="1"/>
  <c r="H385" i="8"/>
  <c r="J385" i="8" s="1"/>
  <c r="H384" i="8"/>
  <c r="J384" i="8" s="1"/>
  <c r="H383" i="8"/>
  <c r="J383" i="8" s="1"/>
  <c r="H382" i="8"/>
  <c r="J382" i="8" s="1"/>
  <c r="H381" i="8"/>
  <c r="J381" i="8" s="1"/>
  <c r="H380" i="8"/>
  <c r="J380" i="8" s="1"/>
  <c r="H379" i="8"/>
  <c r="J379" i="8" s="1"/>
  <c r="H378" i="8"/>
  <c r="J378" i="8" s="1"/>
  <c r="H377" i="8"/>
  <c r="J377" i="8" s="1"/>
  <c r="H376" i="8"/>
  <c r="J376" i="8" s="1"/>
  <c r="H375" i="8"/>
  <c r="J375" i="8" s="1"/>
  <c r="H374" i="8"/>
  <c r="J374" i="8" s="1"/>
  <c r="H373" i="8"/>
  <c r="J373" i="8" s="1"/>
  <c r="H372" i="8"/>
  <c r="J372" i="8" s="1"/>
  <c r="H371" i="8"/>
  <c r="J371" i="8" s="1"/>
  <c r="H370" i="8"/>
  <c r="J370" i="8" s="1"/>
  <c r="H369" i="8"/>
  <c r="J369" i="8" s="1"/>
  <c r="H368" i="8"/>
  <c r="J368" i="8" s="1"/>
  <c r="H367" i="8"/>
  <c r="J367" i="8" s="1"/>
  <c r="H366" i="8"/>
  <c r="J366" i="8" s="1"/>
  <c r="H365" i="8"/>
  <c r="J365" i="8" s="1"/>
  <c r="H364" i="8"/>
  <c r="J364" i="8" s="1"/>
  <c r="H363" i="8"/>
  <c r="J363" i="8" s="1"/>
  <c r="H362" i="8"/>
  <c r="J362" i="8" s="1"/>
  <c r="H361" i="8"/>
  <c r="J361" i="8" s="1"/>
  <c r="H360" i="8"/>
  <c r="J360" i="8" s="1"/>
  <c r="H359" i="8"/>
  <c r="J359" i="8" s="1"/>
  <c r="H358" i="8"/>
  <c r="J358" i="8" s="1"/>
  <c r="H357" i="8"/>
  <c r="J357" i="8" s="1"/>
  <c r="H356" i="8"/>
  <c r="J356" i="8" s="1"/>
  <c r="H355" i="8"/>
  <c r="J355" i="8" s="1"/>
  <c r="H354" i="8"/>
  <c r="J354" i="8" s="1"/>
  <c r="H353" i="8"/>
  <c r="J353" i="8" s="1"/>
  <c r="H352" i="8"/>
  <c r="J352" i="8" s="1"/>
  <c r="H351" i="8"/>
  <c r="J351" i="8" s="1"/>
  <c r="H350" i="8"/>
  <c r="J350" i="8" s="1"/>
  <c r="H349" i="8"/>
  <c r="J349" i="8" s="1"/>
  <c r="H348" i="8"/>
  <c r="J348" i="8" s="1"/>
  <c r="H347" i="8"/>
  <c r="J347" i="8" s="1"/>
  <c r="H346" i="8"/>
  <c r="J346" i="8" s="1"/>
  <c r="H345" i="8"/>
  <c r="J345" i="8" s="1"/>
  <c r="H344" i="8"/>
  <c r="J344" i="8" s="1"/>
  <c r="H343" i="8"/>
  <c r="J343" i="8" s="1"/>
  <c r="H342" i="8"/>
  <c r="J342" i="8" s="1"/>
  <c r="H341" i="8"/>
  <c r="J341" i="8" s="1"/>
  <c r="H340" i="8"/>
  <c r="J340" i="8" s="1"/>
  <c r="H339" i="8"/>
  <c r="J339" i="8" s="1"/>
  <c r="H338" i="8"/>
  <c r="J338" i="8" s="1"/>
  <c r="H337" i="8"/>
  <c r="J337" i="8" s="1"/>
  <c r="H336" i="8"/>
  <c r="J336" i="8" s="1"/>
  <c r="H335" i="8"/>
  <c r="J335" i="8" s="1"/>
  <c r="H334" i="8"/>
  <c r="J334" i="8" s="1"/>
  <c r="H333" i="8"/>
  <c r="J333" i="8" s="1"/>
  <c r="H332" i="8"/>
  <c r="J332" i="8" s="1"/>
  <c r="H331" i="8"/>
  <c r="J331" i="8" s="1"/>
  <c r="H330" i="8"/>
  <c r="J330" i="8" s="1"/>
  <c r="H329" i="8"/>
  <c r="J329" i="8" s="1"/>
  <c r="H328" i="8"/>
  <c r="J328" i="8" s="1"/>
  <c r="H327" i="8"/>
  <c r="J327" i="8" s="1"/>
  <c r="H326" i="8"/>
  <c r="J326" i="8" s="1"/>
  <c r="P325" i="8"/>
  <c r="H325" i="8"/>
  <c r="J325" i="8" s="1"/>
  <c r="L325" i="8" s="1"/>
  <c r="H324" i="8"/>
  <c r="J324" i="8" s="1"/>
  <c r="H323" i="8"/>
  <c r="J323" i="8" s="1"/>
  <c r="P322" i="8"/>
  <c r="H322" i="8"/>
  <c r="J322" i="8" s="1"/>
  <c r="L322" i="8" s="1"/>
  <c r="H321" i="8"/>
  <c r="J321" i="8" s="1"/>
  <c r="H320" i="8"/>
  <c r="J320" i="8" s="1"/>
  <c r="H319" i="8"/>
  <c r="J319" i="8" s="1"/>
  <c r="H318" i="8"/>
  <c r="J318" i="8" s="1"/>
  <c r="H317" i="8"/>
  <c r="J317" i="8" s="1"/>
  <c r="H316" i="8"/>
  <c r="J316" i="8" s="1"/>
  <c r="H315" i="8"/>
  <c r="J315" i="8" s="1"/>
  <c r="H314" i="8"/>
  <c r="J314" i="8" s="1"/>
  <c r="H313" i="8"/>
  <c r="J313" i="8" s="1"/>
  <c r="H312" i="8"/>
  <c r="J312" i="8" s="1"/>
  <c r="H311" i="8"/>
  <c r="J311" i="8" s="1"/>
  <c r="L311" i="8" s="1"/>
  <c r="H310" i="8"/>
  <c r="J310" i="8" s="1"/>
  <c r="L310" i="8" s="1"/>
  <c r="H309" i="8"/>
  <c r="J309" i="8" s="1"/>
  <c r="L309" i="8" s="1"/>
  <c r="H308" i="8"/>
  <c r="J308" i="8" s="1"/>
  <c r="L308" i="8" s="1"/>
  <c r="H307" i="8"/>
  <c r="J307" i="8" s="1"/>
  <c r="L307" i="8" s="1"/>
  <c r="H306" i="8"/>
  <c r="J306" i="8" s="1"/>
  <c r="L306" i="8" s="1"/>
  <c r="H305" i="8"/>
  <c r="J305" i="8" s="1"/>
  <c r="L305" i="8" s="1"/>
  <c r="H304" i="8"/>
  <c r="J304" i="8" s="1"/>
  <c r="L304" i="8" s="1"/>
  <c r="H303" i="8"/>
  <c r="J303" i="8" s="1"/>
  <c r="L303" i="8" s="1"/>
  <c r="H302" i="8"/>
  <c r="J302" i="8" s="1"/>
  <c r="L302" i="8" s="1"/>
  <c r="H301" i="8"/>
  <c r="J301" i="8" s="1"/>
  <c r="L301" i="8" s="1"/>
  <c r="H300" i="8"/>
  <c r="J300" i="8" s="1"/>
  <c r="L300" i="8" s="1"/>
  <c r="H299" i="8"/>
  <c r="J299" i="8" s="1"/>
  <c r="L299" i="8" s="1"/>
  <c r="H298" i="8"/>
  <c r="J298" i="8" s="1"/>
  <c r="L298" i="8" s="1"/>
  <c r="H297" i="8"/>
  <c r="J297" i="8" s="1"/>
  <c r="L297" i="8" s="1"/>
  <c r="H296" i="8"/>
  <c r="J296" i="8" s="1"/>
  <c r="L296" i="8" s="1"/>
  <c r="H295" i="8"/>
  <c r="J295" i="8" s="1"/>
  <c r="L295" i="8" s="1"/>
  <c r="H294" i="8"/>
  <c r="J294" i="8" s="1"/>
  <c r="L294" i="8" s="1"/>
  <c r="H293" i="8"/>
  <c r="J293" i="8" s="1"/>
  <c r="L293" i="8" s="1"/>
  <c r="H292" i="8"/>
  <c r="J292" i="8" s="1"/>
  <c r="L292" i="8" s="1"/>
  <c r="H291" i="8"/>
  <c r="J291" i="8" s="1"/>
  <c r="L291" i="8" s="1"/>
  <c r="H290" i="8"/>
  <c r="J290" i="8" s="1"/>
  <c r="L290" i="8" s="1"/>
  <c r="H289" i="8"/>
  <c r="J289" i="8" s="1"/>
  <c r="L289" i="8" s="1"/>
  <c r="H288" i="8"/>
  <c r="J288" i="8" s="1"/>
  <c r="L288" i="8" s="1"/>
  <c r="H287" i="8"/>
  <c r="J287" i="8" s="1"/>
  <c r="L287" i="8" s="1"/>
  <c r="H286" i="8"/>
  <c r="J286" i="8" s="1"/>
  <c r="L286" i="8" s="1"/>
  <c r="H285" i="8"/>
  <c r="J285" i="8" s="1"/>
  <c r="L285" i="8" s="1"/>
  <c r="H284" i="8"/>
  <c r="J284" i="8" s="1"/>
  <c r="L284" i="8" s="1"/>
  <c r="H283" i="8"/>
  <c r="J283" i="8" s="1"/>
  <c r="H282" i="8"/>
  <c r="J282" i="8" s="1"/>
  <c r="H281" i="8"/>
  <c r="J281" i="8" s="1"/>
  <c r="L281" i="8" s="1"/>
  <c r="H280" i="8"/>
  <c r="J280" i="8" s="1"/>
  <c r="L280" i="8" s="1"/>
  <c r="H279" i="8"/>
  <c r="J279" i="8" s="1"/>
  <c r="L279" i="8" s="1"/>
  <c r="H278" i="8"/>
  <c r="J278" i="8" s="1"/>
  <c r="L278" i="8" s="1"/>
  <c r="H277" i="8"/>
  <c r="J277" i="8" s="1"/>
  <c r="L277" i="8" s="1"/>
  <c r="H276" i="8"/>
  <c r="J276" i="8" s="1"/>
  <c r="L276" i="8" s="1"/>
  <c r="H275" i="8"/>
  <c r="J275" i="8" s="1"/>
  <c r="L275" i="8" s="1"/>
  <c r="H274" i="8"/>
  <c r="J274" i="8" s="1"/>
  <c r="L274" i="8" s="1"/>
  <c r="H273" i="8"/>
  <c r="J273" i="8" s="1"/>
  <c r="L273" i="8" s="1"/>
  <c r="H272" i="8"/>
  <c r="J272" i="8" s="1"/>
  <c r="L272" i="8" s="1"/>
  <c r="H271" i="8"/>
  <c r="J271" i="8" s="1"/>
  <c r="L271" i="8" s="1"/>
  <c r="H270" i="8"/>
  <c r="J270" i="8" s="1"/>
  <c r="H269" i="8"/>
  <c r="J269" i="8" s="1"/>
  <c r="L269" i="8" s="1"/>
  <c r="H268" i="8"/>
  <c r="J268" i="8" s="1"/>
  <c r="L268" i="8" s="1"/>
  <c r="H267" i="8"/>
  <c r="J267" i="8" s="1"/>
  <c r="L267" i="8" s="1"/>
  <c r="H266" i="8"/>
  <c r="J266" i="8" s="1"/>
  <c r="L266" i="8" s="1"/>
  <c r="H265" i="8"/>
  <c r="J265" i="8" s="1"/>
  <c r="L265" i="8" s="1"/>
  <c r="H264" i="8"/>
  <c r="J264" i="8" s="1"/>
  <c r="L264" i="8" s="1"/>
  <c r="H263" i="8"/>
  <c r="J263" i="8" s="1"/>
  <c r="L263" i="8" s="1"/>
  <c r="H262" i="8"/>
  <c r="J262" i="8" s="1"/>
  <c r="L262" i="8" s="1"/>
  <c r="H261" i="8"/>
  <c r="J261" i="8" s="1"/>
  <c r="L261" i="8" s="1"/>
  <c r="H260" i="8"/>
  <c r="J260" i="8" s="1"/>
  <c r="H259" i="8"/>
  <c r="J259" i="8" s="1"/>
  <c r="H258" i="8"/>
  <c r="J258" i="8" s="1"/>
  <c r="L258" i="8" s="1"/>
  <c r="H257" i="8"/>
  <c r="J257" i="8" s="1"/>
  <c r="L257" i="8" s="1"/>
  <c r="H256" i="8"/>
  <c r="J256" i="8" s="1"/>
  <c r="L256" i="8" s="1"/>
  <c r="H255" i="8"/>
  <c r="J255" i="8" s="1"/>
  <c r="L255" i="8" s="1"/>
  <c r="H254" i="8"/>
  <c r="J254" i="8" s="1"/>
  <c r="L254" i="8" s="1"/>
  <c r="H253" i="8"/>
  <c r="J253" i="8" s="1"/>
  <c r="L253" i="8" s="1"/>
  <c r="H252" i="8"/>
  <c r="J252" i="8" s="1"/>
  <c r="L252" i="8" s="1"/>
  <c r="H251" i="8"/>
  <c r="J251" i="8" s="1"/>
  <c r="L251" i="8" s="1"/>
  <c r="H250" i="8"/>
  <c r="J250" i="8" s="1"/>
  <c r="L250" i="8" s="1"/>
  <c r="H249" i="8"/>
  <c r="J249" i="8" s="1"/>
  <c r="L249" i="8" s="1"/>
  <c r="H248" i="8"/>
  <c r="J248" i="8" s="1"/>
  <c r="L248" i="8" s="1"/>
  <c r="H247" i="8"/>
  <c r="J247" i="8" s="1"/>
  <c r="L247" i="8" s="1"/>
  <c r="H246" i="8"/>
  <c r="J246" i="8" s="1"/>
  <c r="L246" i="8" s="1"/>
  <c r="H245" i="8"/>
  <c r="J245" i="8" s="1"/>
  <c r="L245" i="8" s="1"/>
  <c r="H244" i="8"/>
  <c r="J244" i="8" s="1"/>
  <c r="L244" i="8" s="1"/>
  <c r="H243" i="8"/>
  <c r="J243" i="8" s="1"/>
  <c r="L243" i="8" s="1"/>
  <c r="H242" i="8"/>
  <c r="J242" i="8" s="1"/>
  <c r="L242" i="8" s="1"/>
  <c r="H241" i="8"/>
  <c r="J241" i="8" s="1"/>
  <c r="L241" i="8" s="1"/>
  <c r="H240" i="8"/>
  <c r="J240" i="8" s="1"/>
  <c r="L240" i="8" s="1"/>
  <c r="H239" i="8"/>
  <c r="J239" i="8" s="1"/>
  <c r="L239" i="8" s="1"/>
  <c r="H238" i="8"/>
  <c r="J238" i="8" s="1"/>
  <c r="L238" i="8" s="1"/>
  <c r="H237" i="8"/>
  <c r="J237" i="8" s="1"/>
  <c r="H236" i="8"/>
  <c r="J236" i="8" s="1"/>
  <c r="L236" i="8" s="1"/>
  <c r="H235" i="8"/>
  <c r="J235" i="8" s="1"/>
  <c r="L235" i="8" s="1"/>
  <c r="H234" i="8"/>
  <c r="J234" i="8" s="1"/>
  <c r="L234" i="8" s="1"/>
  <c r="H233" i="8"/>
  <c r="J233" i="8" s="1"/>
  <c r="L233" i="8" s="1"/>
  <c r="H232" i="8"/>
  <c r="J232" i="8" s="1"/>
  <c r="L232" i="8" s="1"/>
  <c r="J231" i="8"/>
  <c r="H230" i="8"/>
  <c r="J230" i="8" s="1"/>
  <c r="L230" i="8" s="1"/>
  <c r="H229" i="8"/>
  <c r="J229" i="8" s="1"/>
  <c r="L229" i="8" s="1"/>
  <c r="H228" i="8"/>
  <c r="J228" i="8" s="1"/>
  <c r="L228" i="8" s="1"/>
  <c r="H227" i="8"/>
  <c r="J227" i="8" s="1"/>
  <c r="L227" i="8" s="1"/>
  <c r="H226" i="8"/>
  <c r="J226" i="8" s="1"/>
  <c r="L226" i="8" s="1"/>
  <c r="H225" i="8"/>
  <c r="J225" i="8" s="1"/>
  <c r="L225" i="8" s="1"/>
  <c r="H224" i="8"/>
  <c r="J224" i="8" s="1"/>
  <c r="L224" i="8" s="1"/>
  <c r="H223" i="8"/>
  <c r="J223" i="8" s="1"/>
  <c r="L223" i="8" s="1"/>
  <c r="H222" i="8"/>
  <c r="J222" i="8" s="1"/>
  <c r="L222" i="8" s="1"/>
  <c r="H221" i="8"/>
  <c r="J221" i="8" s="1"/>
  <c r="L221" i="8" s="1"/>
  <c r="H220" i="8"/>
  <c r="J220" i="8" s="1"/>
  <c r="L220" i="8" s="1"/>
  <c r="H219" i="8"/>
  <c r="J219" i="8" s="1"/>
  <c r="L219" i="8" s="1"/>
  <c r="H218" i="8"/>
  <c r="J218" i="8" s="1"/>
  <c r="L218" i="8" s="1"/>
  <c r="H217" i="8"/>
  <c r="J217" i="8" s="1"/>
  <c r="H216" i="8"/>
  <c r="J216" i="8" s="1"/>
  <c r="L216" i="8" s="1"/>
  <c r="H215" i="8"/>
  <c r="J215" i="8" s="1"/>
  <c r="L215" i="8" s="1"/>
  <c r="H214" i="8"/>
  <c r="J214" i="8" s="1"/>
  <c r="H213" i="8"/>
  <c r="J213" i="8" s="1"/>
  <c r="H212" i="8"/>
  <c r="J212" i="8" s="1"/>
  <c r="L212" i="8" s="1"/>
  <c r="H211" i="8"/>
  <c r="J211" i="8" s="1"/>
  <c r="L211" i="8" s="1"/>
  <c r="H210" i="8"/>
  <c r="J210" i="8" s="1"/>
  <c r="L210" i="8" s="1"/>
  <c r="H209" i="8"/>
  <c r="J209" i="8" s="1"/>
  <c r="L209" i="8" s="1"/>
  <c r="H208" i="8"/>
  <c r="J208" i="8" s="1"/>
  <c r="L208" i="8" s="1"/>
  <c r="H207" i="8"/>
  <c r="J207" i="8" s="1"/>
  <c r="L207" i="8" s="1"/>
  <c r="H206" i="8"/>
  <c r="J206" i="8" s="1"/>
  <c r="L206" i="8" s="1"/>
  <c r="H205" i="8"/>
  <c r="J205" i="8" s="1"/>
  <c r="L205" i="8" s="1"/>
  <c r="H204" i="8"/>
  <c r="J204" i="8" s="1"/>
  <c r="L204" i="8" s="1"/>
  <c r="H203" i="8"/>
  <c r="J203" i="8" s="1"/>
  <c r="L203" i="8" s="1"/>
  <c r="H202" i="8"/>
  <c r="J202" i="8" s="1"/>
  <c r="L202" i="8" s="1"/>
  <c r="H201" i="8"/>
  <c r="J201" i="8" s="1"/>
  <c r="L201" i="8" s="1"/>
  <c r="H200" i="8"/>
  <c r="J200" i="8" s="1"/>
  <c r="L200" i="8" s="1"/>
  <c r="H199" i="8"/>
  <c r="J199" i="8" s="1"/>
  <c r="L199" i="8" s="1"/>
  <c r="H198" i="8"/>
  <c r="J198" i="8" s="1"/>
  <c r="L198" i="8" s="1"/>
  <c r="H197" i="8"/>
  <c r="J197" i="8" s="1"/>
  <c r="L197" i="8" s="1"/>
  <c r="H196" i="8"/>
  <c r="J196" i="8" s="1"/>
  <c r="L196" i="8" s="1"/>
  <c r="H195" i="8"/>
  <c r="J195" i="8" s="1"/>
  <c r="L195" i="8" s="1"/>
  <c r="H194" i="8"/>
  <c r="J194" i="8" s="1"/>
  <c r="L194" i="8" s="1"/>
  <c r="H193" i="8"/>
  <c r="J193" i="8" s="1"/>
  <c r="L193" i="8" s="1"/>
  <c r="H192" i="8"/>
  <c r="J192" i="8" s="1"/>
  <c r="L192" i="8" s="1"/>
  <c r="H191" i="8"/>
  <c r="J191" i="8" s="1"/>
  <c r="L191" i="8" s="1"/>
  <c r="H190" i="8"/>
  <c r="J190" i="8" s="1"/>
  <c r="L190" i="8" s="1"/>
  <c r="H189" i="8"/>
  <c r="J189" i="8" s="1"/>
  <c r="L189" i="8" s="1"/>
  <c r="H188" i="8"/>
  <c r="J188" i="8" s="1"/>
  <c r="L188" i="8" s="1"/>
  <c r="H187" i="8"/>
  <c r="J187" i="8" s="1"/>
  <c r="L187" i="8" s="1"/>
  <c r="H186" i="8"/>
  <c r="J186" i="8" s="1"/>
  <c r="L186" i="8" s="1"/>
  <c r="H185" i="8"/>
  <c r="J185" i="8" s="1"/>
  <c r="L185" i="8" s="1"/>
  <c r="H184" i="8"/>
  <c r="J184" i="8" s="1"/>
  <c r="L184" i="8" s="1"/>
  <c r="H183" i="8"/>
  <c r="J183" i="8" s="1"/>
  <c r="L183" i="8" s="1"/>
  <c r="H182" i="8"/>
  <c r="J182" i="8" s="1"/>
  <c r="L182" i="8" s="1"/>
  <c r="H181" i="8"/>
  <c r="J181" i="8" s="1"/>
  <c r="L181" i="8" s="1"/>
  <c r="H180" i="8"/>
  <c r="J180" i="8" s="1"/>
  <c r="L180" i="8" s="1"/>
  <c r="H179" i="8"/>
  <c r="J179" i="8" s="1"/>
  <c r="L179" i="8" s="1"/>
  <c r="H178" i="8"/>
  <c r="J178" i="8" s="1"/>
  <c r="L178" i="8" s="1"/>
  <c r="H177" i="8"/>
  <c r="J177" i="8" s="1"/>
  <c r="L177" i="8" s="1"/>
  <c r="H176" i="8"/>
  <c r="J176" i="8" s="1"/>
  <c r="L176" i="8" s="1"/>
  <c r="H175" i="8"/>
  <c r="J175" i="8" s="1"/>
  <c r="L175" i="8" s="1"/>
  <c r="H174" i="8"/>
  <c r="J174" i="8" s="1"/>
  <c r="L174" i="8" s="1"/>
  <c r="H173" i="8"/>
  <c r="J173" i="8" s="1"/>
  <c r="L173" i="8" s="1"/>
  <c r="H172" i="8"/>
  <c r="J172" i="8" s="1"/>
  <c r="L172" i="8" s="1"/>
  <c r="H171" i="8"/>
  <c r="J171" i="8" s="1"/>
  <c r="L171" i="8" s="1"/>
  <c r="H170" i="8"/>
  <c r="J170" i="8" s="1"/>
  <c r="L170" i="8" s="1"/>
  <c r="H169" i="8"/>
  <c r="J169" i="8" s="1"/>
  <c r="L169" i="8" s="1"/>
  <c r="H168" i="8"/>
  <c r="J168" i="8" s="1"/>
  <c r="L168" i="8" s="1"/>
  <c r="H167" i="8"/>
  <c r="J167" i="8" s="1"/>
  <c r="H166" i="8"/>
  <c r="J166" i="8" s="1"/>
  <c r="L166" i="8" s="1"/>
  <c r="H165" i="8"/>
  <c r="J165" i="8" s="1"/>
  <c r="L165" i="8" s="1"/>
  <c r="H164" i="8"/>
  <c r="J164" i="8" s="1"/>
  <c r="L164" i="8" s="1"/>
  <c r="H163" i="8"/>
  <c r="J163" i="8" s="1"/>
  <c r="L163" i="8" s="1"/>
  <c r="H162" i="8"/>
  <c r="J162" i="8" s="1"/>
  <c r="H161" i="8"/>
  <c r="J161" i="8" s="1"/>
  <c r="L161" i="8" s="1"/>
  <c r="H160" i="8"/>
  <c r="J160" i="8" s="1"/>
  <c r="L160" i="8" s="1"/>
  <c r="H159" i="8"/>
  <c r="J159" i="8" s="1"/>
  <c r="L159" i="8" s="1"/>
  <c r="H158" i="8"/>
  <c r="J158" i="8" s="1"/>
  <c r="L158" i="8" s="1"/>
  <c r="H157" i="8"/>
  <c r="J157" i="8" s="1"/>
  <c r="L157" i="8" s="1"/>
  <c r="H156" i="8"/>
  <c r="J156" i="8" s="1"/>
  <c r="L156" i="8" s="1"/>
  <c r="H155" i="8"/>
  <c r="J155" i="8" s="1"/>
  <c r="L155" i="8" s="1"/>
  <c r="H154" i="8"/>
  <c r="J154" i="8" s="1"/>
  <c r="L154" i="8" s="1"/>
  <c r="H153" i="8"/>
  <c r="J153" i="8" s="1"/>
  <c r="L153" i="8" s="1"/>
  <c r="H152" i="8"/>
  <c r="J152" i="8" s="1"/>
  <c r="L152" i="8" s="1"/>
  <c r="H151" i="8"/>
  <c r="J151" i="8" s="1"/>
  <c r="L151" i="8" s="1"/>
  <c r="H150" i="8"/>
  <c r="J150" i="8" s="1"/>
  <c r="L150" i="8" s="1"/>
  <c r="H149" i="8"/>
  <c r="J149" i="8" s="1"/>
  <c r="L149" i="8" s="1"/>
  <c r="H148" i="8"/>
  <c r="J148" i="8" s="1"/>
  <c r="L148" i="8" s="1"/>
  <c r="H147" i="8"/>
  <c r="J147" i="8" s="1"/>
  <c r="H146" i="8"/>
  <c r="J146" i="8" s="1"/>
  <c r="H145" i="8"/>
  <c r="J145" i="8" s="1"/>
  <c r="H144" i="8"/>
  <c r="J144" i="8" s="1"/>
  <c r="H143" i="8"/>
  <c r="J143" i="8" s="1"/>
  <c r="H142" i="8"/>
  <c r="J142" i="8" s="1"/>
  <c r="H141" i="8"/>
  <c r="J141" i="8" s="1"/>
  <c r="H140" i="8"/>
  <c r="J140" i="8" s="1"/>
  <c r="H139" i="8"/>
  <c r="J139" i="8" s="1"/>
  <c r="H138" i="8"/>
  <c r="J138" i="8" s="1"/>
  <c r="H137" i="8"/>
  <c r="J137" i="8" s="1"/>
  <c r="H136" i="8"/>
  <c r="J136" i="8" s="1"/>
  <c r="H135" i="8"/>
  <c r="J135" i="8" s="1"/>
  <c r="H134" i="8"/>
  <c r="J134" i="8" s="1"/>
  <c r="H133" i="8"/>
  <c r="J133" i="8" s="1"/>
  <c r="H132" i="8"/>
  <c r="J132" i="8" s="1"/>
  <c r="H131" i="8"/>
  <c r="J131" i="8" s="1"/>
  <c r="H130" i="8"/>
  <c r="J130" i="8" s="1"/>
  <c r="H129" i="8"/>
  <c r="J129" i="8" s="1"/>
  <c r="H128" i="8"/>
  <c r="J128" i="8" s="1"/>
  <c r="H127" i="8"/>
  <c r="J127" i="8" s="1"/>
  <c r="H126" i="8"/>
  <c r="J126" i="8" s="1"/>
  <c r="H125" i="8"/>
  <c r="J125" i="8" s="1"/>
  <c r="H124" i="8"/>
  <c r="J124" i="8" s="1"/>
  <c r="H123" i="8"/>
  <c r="J123" i="8" s="1"/>
  <c r="H122" i="8"/>
  <c r="J122" i="8" s="1"/>
  <c r="H121" i="8"/>
  <c r="J121" i="8" s="1"/>
  <c r="H120" i="8"/>
  <c r="J120" i="8" s="1"/>
  <c r="H119" i="8"/>
  <c r="J119" i="8" s="1"/>
  <c r="H118" i="8"/>
  <c r="J118" i="8" s="1"/>
  <c r="H117" i="8"/>
  <c r="J117" i="8" s="1"/>
  <c r="H116" i="8"/>
  <c r="J116" i="8" s="1"/>
  <c r="H115" i="8"/>
  <c r="J115" i="8" s="1"/>
  <c r="H114" i="8"/>
  <c r="J114" i="8" s="1"/>
  <c r="H113" i="8"/>
  <c r="J113" i="8" s="1"/>
  <c r="H112" i="8"/>
  <c r="J112" i="8" s="1"/>
  <c r="H111" i="8"/>
  <c r="J111" i="8" s="1"/>
  <c r="H110" i="8"/>
  <c r="J110" i="8" s="1"/>
  <c r="H109" i="8"/>
  <c r="J109" i="8" s="1"/>
  <c r="H108" i="8"/>
  <c r="J108" i="8" s="1"/>
  <c r="H107" i="8"/>
  <c r="J107" i="8" s="1"/>
  <c r="H106" i="8"/>
  <c r="J106" i="8" s="1"/>
  <c r="H105" i="8"/>
  <c r="J105" i="8" s="1"/>
  <c r="H104" i="8"/>
  <c r="J104" i="8" s="1"/>
  <c r="H103" i="8"/>
  <c r="J103" i="8" s="1"/>
  <c r="H102" i="8"/>
  <c r="J102" i="8" s="1"/>
  <c r="H101" i="8"/>
  <c r="J101" i="8" s="1"/>
  <c r="H100" i="8"/>
  <c r="J100" i="8" s="1"/>
  <c r="H99" i="8"/>
  <c r="J99" i="8" s="1"/>
  <c r="H98" i="8"/>
  <c r="J98" i="8" s="1"/>
  <c r="H97" i="8"/>
  <c r="J97" i="8" s="1"/>
  <c r="H96" i="8"/>
  <c r="J96" i="8" s="1"/>
  <c r="H95" i="8"/>
  <c r="J95" i="8" s="1"/>
  <c r="H94" i="8"/>
  <c r="J94" i="8" s="1"/>
  <c r="H93" i="8"/>
  <c r="J93" i="8" s="1"/>
  <c r="H92" i="8"/>
  <c r="J92" i="8" s="1"/>
  <c r="H91" i="8"/>
  <c r="J91" i="8" s="1"/>
  <c r="H90" i="8"/>
  <c r="J90" i="8" s="1"/>
  <c r="H89" i="8"/>
  <c r="J89" i="8" s="1"/>
  <c r="H88" i="8"/>
  <c r="J88" i="8" s="1"/>
  <c r="H87" i="8"/>
  <c r="J87" i="8" s="1"/>
  <c r="H86" i="8"/>
  <c r="J86" i="8" s="1"/>
  <c r="L86" i="8" s="1"/>
  <c r="H85" i="8"/>
  <c r="J85" i="8" s="1"/>
  <c r="L85" i="8" s="1"/>
  <c r="H84" i="8"/>
  <c r="J84" i="8" s="1"/>
  <c r="H83" i="8"/>
  <c r="J83" i="8" s="1"/>
  <c r="H82" i="8"/>
  <c r="J82" i="8" s="1"/>
  <c r="H81" i="8"/>
  <c r="J81" i="8" s="1"/>
  <c r="H80" i="8"/>
  <c r="J80" i="8" s="1"/>
  <c r="H79" i="8"/>
  <c r="J79" i="8" s="1"/>
  <c r="H78" i="8"/>
  <c r="J78" i="8" s="1"/>
  <c r="H77" i="8"/>
  <c r="J77" i="8" s="1"/>
  <c r="H76" i="8"/>
  <c r="J76" i="8" s="1"/>
  <c r="H75" i="8"/>
  <c r="J75" i="8" s="1"/>
  <c r="H74" i="8"/>
  <c r="J74" i="8" s="1"/>
  <c r="H73" i="8"/>
  <c r="J73" i="8" s="1"/>
  <c r="H72" i="8"/>
  <c r="J72" i="8" s="1"/>
  <c r="H71" i="8"/>
  <c r="J71" i="8" s="1"/>
  <c r="H70" i="8"/>
  <c r="J70" i="8" s="1"/>
  <c r="H69" i="8"/>
  <c r="J69" i="8" s="1"/>
  <c r="H68" i="8"/>
  <c r="J68" i="8" s="1"/>
  <c r="H67" i="8"/>
  <c r="J67" i="8" s="1"/>
  <c r="H66" i="8"/>
  <c r="J66" i="8" s="1"/>
  <c r="H65" i="8"/>
  <c r="J65" i="8" s="1"/>
  <c r="H64" i="8"/>
  <c r="J64" i="8" s="1"/>
  <c r="H63" i="8"/>
  <c r="J63" i="8" s="1"/>
  <c r="H62" i="8"/>
  <c r="J62" i="8" s="1"/>
  <c r="H61" i="8"/>
  <c r="J61" i="8" s="1"/>
  <c r="H60" i="8"/>
  <c r="J60" i="8" s="1"/>
  <c r="H59" i="8"/>
  <c r="J59" i="8" s="1"/>
  <c r="H58" i="8"/>
  <c r="J58" i="8" s="1"/>
  <c r="H57" i="8"/>
  <c r="J57" i="8" s="1"/>
  <c r="H56" i="8"/>
  <c r="J56" i="8" s="1"/>
  <c r="H55" i="8"/>
  <c r="J55" i="8" s="1"/>
  <c r="H54" i="8"/>
  <c r="J54" i="8" s="1"/>
  <c r="H53" i="8"/>
  <c r="J53" i="8" s="1"/>
  <c r="H52" i="8"/>
  <c r="J52" i="8" s="1"/>
  <c r="H51" i="8"/>
  <c r="J51" i="8" s="1"/>
  <c r="H50" i="8"/>
  <c r="J50" i="8" s="1"/>
  <c r="H49" i="8"/>
  <c r="J49" i="8" s="1"/>
  <c r="H48" i="8"/>
  <c r="J48" i="8" s="1"/>
  <c r="H47" i="8"/>
  <c r="J47" i="8" s="1"/>
  <c r="H46" i="8"/>
  <c r="J46" i="8" s="1"/>
  <c r="H45" i="8"/>
  <c r="J45" i="8" s="1"/>
  <c r="H44" i="8"/>
  <c r="J44" i="8" s="1"/>
  <c r="V43" i="8"/>
  <c r="V45" i="8" s="1"/>
  <c r="H43" i="8"/>
  <c r="J43" i="8" s="1"/>
  <c r="H42" i="8"/>
  <c r="J42" i="8" s="1"/>
  <c r="H41" i="8"/>
  <c r="J41" i="8" s="1"/>
  <c r="H40" i="8"/>
  <c r="J40" i="8" s="1"/>
  <c r="H39" i="8"/>
  <c r="J39" i="8" s="1"/>
  <c r="H38" i="8"/>
  <c r="J38" i="8" s="1"/>
  <c r="H37" i="8"/>
  <c r="J37" i="8" s="1"/>
  <c r="H36" i="8"/>
  <c r="J36" i="8" s="1"/>
  <c r="H35" i="8"/>
  <c r="J35" i="8" s="1"/>
  <c r="H34" i="8"/>
  <c r="J34" i="8" s="1"/>
  <c r="H33" i="8"/>
  <c r="J33" i="8" s="1"/>
  <c r="H32" i="8"/>
  <c r="J32" i="8" s="1"/>
  <c r="H31" i="8"/>
  <c r="J31" i="8" s="1"/>
  <c r="H30" i="8"/>
  <c r="J30" i="8" s="1"/>
  <c r="H29" i="8"/>
  <c r="J29" i="8" s="1"/>
  <c r="H28" i="8"/>
  <c r="J28" i="8" s="1"/>
  <c r="H27" i="8"/>
  <c r="J27" i="8" s="1"/>
  <c r="H26" i="8"/>
  <c r="J26" i="8" s="1"/>
  <c r="H25" i="8"/>
  <c r="J25" i="8" s="1"/>
  <c r="H24" i="8"/>
  <c r="J24" i="8" s="1"/>
  <c r="H23" i="8"/>
  <c r="J23" i="8" s="1"/>
  <c r="H22" i="8"/>
  <c r="J22" i="8" s="1"/>
  <c r="H21" i="8"/>
  <c r="J21" i="8" s="1"/>
  <c r="H20" i="8"/>
  <c r="J20" i="8" s="1"/>
  <c r="H19" i="8"/>
  <c r="J19" i="8" s="1"/>
  <c r="H18" i="8"/>
  <c r="J18" i="8" s="1"/>
  <c r="H17" i="8"/>
  <c r="J17" i="8" s="1"/>
  <c r="H16" i="8"/>
  <c r="J16" i="8" s="1"/>
  <c r="H15" i="8"/>
  <c r="J15" i="8" s="1"/>
  <c r="H14" i="8"/>
  <c r="J14" i="8" s="1"/>
  <c r="H13" i="8"/>
  <c r="J13" i="8" s="1"/>
  <c r="H12" i="8"/>
  <c r="J12" i="8" s="1"/>
  <c r="H11" i="8"/>
  <c r="J11" i="8" s="1"/>
  <c r="H10" i="8"/>
  <c r="J10" i="8" s="1"/>
  <c r="H9" i="8"/>
  <c r="J9" i="8" s="1"/>
  <c r="H8" i="8"/>
  <c r="J8" i="8" s="1"/>
  <c r="H7" i="8"/>
  <c r="J7" i="8" s="1"/>
  <c r="H6" i="8"/>
  <c r="J6" i="8" s="1"/>
  <c r="H5" i="8"/>
  <c r="J5" i="8" s="1"/>
  <c r="H4" i="8"/>
  <c r="J4" i="8" s="1"/>
  <c r="L4" i="8" s="1"/>
  <c r="S4" i="8" s="1"/>
  <c r="P3" i="8"/>
  <c r="H3" i="8"/>
  <c r="J3" i="8" s="1"/>
  <c r="L3" i="8" s="1"/>
  <c r="P2" i="8"/>
  <c r="H2" i="8"/>
  <c r="J2" i="8" s="1"/>
  <c r="L2" i="8" s="1"/>
  <c r="F25" i="7"/>
  <c r="G4" i="4" s="1"/>
  <c r="E25" i="7"/>
  <c r="D25" i="7"/>
  <c r="E4" i="4" s="1"/>
  <c r="C25" i="7"/>
  <c r="D4" i="4" s="1"/>
  <c r="B25" i="7"/>
  <c r="C4" i="4" s="1"/>
  <c r="G28" i="1"/>
  <c r="E28" i="1"/>
  <c r="D28" i="1"/>
  <c r="C28" i="1"/>
  <c r="F73" i="6"/>
  <c r="E73" i="6"/>
  <c r="D73" i="6"/>
  <c r="C73" i="6"/>
  <c r="F72" i="6"/>
  <c r="G27" i="1" s="1"/>
  <c r="E72" i="6"/>
  <c r="C72" i="6"/>
  <c r="D27" i="1" s="1"/>
  <c r="C27" i="1"/>
  <c r="F71" i="6"/>
  <c r="G26" i="1" s="1"/>
  <c r="E71" i="6"/>
  <c r="D71" i="6"/>
  <c r="E26" i="1" s="1"/>
  <c r="C71" i="6"/>
  <c r="D26" i="1" s="1"/>
  <c r="F70" i="6"/>
  <c r="E70" i="6"/>
  <c r="D70" i="6"/>
  <c r="C70" i="6"/>
  <c r="L48" i="6"/>
  <c r="I48" i="6"/>
  <c r="M25" i="6"/>
  <c r="G8" i="1" s="1"/>
  <c r="L25" i="6"/>
  <c r="K25" i="6"/>
  <c r="E8" i="1" s="1"/>
  <c r="J25" i="6"/>
  <c r="D8" i="1" s="1"/>
  <c r="I25" i="6"/>
  <c r="C8" i="1" s="1"/>
  <c r="C77" i="6" l="1"/>
  <c r="D9" i="1" s="1"/>
  <c r="D77" i="6"/>
  <c r="E9" i="1" s="1"/>
  <c r="E77" i="6"/>
  <c r="F77" i="6"/>
  <c r="G9" i="1" s="1"/>
  <c r="C9" i="1"/>
  <c r="S496" i="8"/>
  <c r="L541" i="8"/>
  <c r="L561" i="8"/>
  <c r="M48" i="6"/>
  <c r="G25" i="1"/>
  <c r="K48" i="6"/>
  <c r="E25" i="1"/>
  <c r="E75" i="6"/>
  <c r="J48" i="6"/>
  <c r="D25" i="1"/>
  <c r="F75" i="6"/>
  <c r="C75" i="6"/>
  <c r="D75" i="6"/>
  <c r="S484" i="8"/>
  <c r="S322" i="8"/>
  <c r="F19" i="1" l="1"/>
  <c r="H19" i="1" s="1"/>
  <c r="F9" i="1"/>
  <c r="C29" i="1"/>
  <c r="E29" i="1"/>
  <c r="D29" i="1"/>
  <c r="G29" i="1"/>
  <c r="F28" i="1"/>
  <c r="H28" i="1" s="1"/>
  <c r="F27" i="1"/>
  <c r="H27" i="1" s="1"/>
  <c r="F25" i="1"/>
  <c r="H25" i="1" s="1"/>
  <c r="I25" i="1" s="1"/>
  <c r="F16" i="1"/>
  <c r="F9" i="4"/>
  <c r="G10" i="4"/>
  <c r="G11" i="4" s="1"/>
  <c r="E10" i="4"/>
  <c r="E11" i="4" s="1"/>
  <c r="D10" i="4"/>
  <c r="D11" i="4" s="1"/>
  <c r="C10" i="4"/>
  <c r="C11" i="4" s="1"/>
  <c r="F8" i="4"/>
  <c r="H8" i="4" s="1"/>
  <c r="F6" i="4"/>
  <c r="H6" i="4" s="1"/>
  <c r="F20" i="1"/>
  <c r="F18" i="1"/>
  <c r="H18" i="1" s="1"/>
  <c r="G10" i="1"/>
  <c r="E10" i="1"/>
  <c r="C10" i="1"/>
  <c r="F8" i="1"/>
  <c r="F7" i="1"/>
  <c r="H7" i="1" s="1"/>
  <c r="I28" i="1"/>
  <c r="I27" i="1"/>
  <c r="H8" i="1" l="1"/>
  <c r="G30" i="1"/>
  <c r="E30" i="1"/>
  <c r="C30" i="1"/>
  <c r="F10" i="4"/>
  <c r="H9" i="4"/>
  <c r="H10" i="4" s="1"/>
  <c r="D30" i="1"/>
  <c r="D10" i="1"/>
  <c r="F26" i="1"/>
  <c r="H26" i="1" s="1"/>
  <c r="H29" i="1" l="1"/>
  <c r="I26" i="1"/>
  <c r="F29" i="1"/>
  <c r="F30" i="1" l="1"/>
  <c r="E18" i="5"/>
  <c r="H18" i="5"/>
  <c r="F4" i="4"/>
  <c r="H4" i="4" l="1"/>
  <c r="H11" i="4" s="1"/>
  <c r="F11" i="4"/>
  <c r="K18" i="5"/>
  <c r="G18" i="5"/>
  <c r="C18" i="5"/>
  <c r="N18" i="5"/>
  <c r="D18" i="5"/>
  <c r="O18" i="5"/>
  <c r="L18" i="5"/>
  <c r="J18" i="5"/>
  <c r="C13" i="2"/>
  <c r="B13" i="2"/>
  <c r="E12" i="2"/>
  <c r="F12" i="2" s="1"/>
  <c r="E9" i="2"/>
  <c r="F9" i="2" s="1"/>
  <c r="L34" i="3"/>
  <c r="L32" i="3"/>
  <c r="A32" i="3"/>
  <c r="A33" i="3" s="1"/>
  <c r="A34" i="3" s="1"/>
  <c r="A35" i="3" s="1"/>
  <c r="A36" i="3" s="1"/>
  <c r="A37" i="3" s="1"/>
  <c r="A38" i="3" s="1"/>
  <c r="A39" i="3" s="1"/>
  <c r="A40" i="3" s="1"/>
  <c r="L27" i="3"/>
  <c r="L26" i="3"/>
  <c r="L25" i="3"/>
  <c r="L24" i="3"/>
  <c r="L22" i="3"/>
  <c r="L20" i="3"/>
  <c r="A20" i="3"/>
  <c r="A21" i="3" s="1"/>
  <c r="A22" i="3" s="1"/>
  <c r="A23" i="3" s="1"/>
  <c r="A24" i="3" s="1"/>
  <c r="A25" i="3" s="1"/>
  <c r="A26" i="3" s="1"/>
  <c r="A27" i="3" s="1"/>
  <c r="A28" i="3" s="1"/>
  <c r="K21" i="3"/>
  <c r="K23" i="3" s="1"/>
  <c r="K28" i="3" s="1"/>
  <c r="J21" i="3"/>
  <c r="J23" i="3" s="1"/>
  <c r="J28" i="3" s="1"/>
  <c r="I21" i="3"/>
  <c r="I23" i="3" s="1"/>
  <c r="I28" i="3" s="1"/>
  <c r="H21" i="3"/>
  <c r="H23" i="3" s="1"/>
  <c r="H28" i="3" s="1"/>
  <c r="G21" i="3"/>
  <c r="G23" i="3" s="1"/>
  <c r="G28" i="3" s="1"/>
  <c r="F21" i="3"/>
  <c r="F23" i="3" s="1"/>
  <c r="F28" i="3" s="1"/>
  <c r="E21" i="3"/>
  <c r="E23" i="3" s="1"/>
  <c r="E28" i="3" s="1"/>
  <c r="D21" i="3"/>
  <c r="D23" i="3" s="1"/>
  <c r="D28" i="3" s="1"/>
  <c r="L19" i="3"/>
  <c r="L15" i="3"/>
  <c r="K39" i="3"/>
  <c r="J39" i="3"/>
  <c r="I39" i="3"/>
  <c r="H39" i="3"/>
  <c r="G39" i="3"/>
  <c r="F39" i="3"/>
  <c r="E39" i="3"/>
  <c r="D39" i="3"/>
  <c r="C39" i="3"/>
  <c r="K38" i="3"/>
  <c r="J38" i="3"/>
  <c r="I38" i="3"/>
  <c r="H38" i="3"/>
  <c r="G38" i="3"/>
  <c r="F38" i="3"/>
  <c r="E38" i="3"/>
  <c r="D38" i="3"/>
  <c r="C38" i="3"/>
  <c r="K37" i="3"/>
  <c r="J37" i="3"/>
  <c r="I37" i="3"/>
  <c r="H37" i="3"/>
  <c r="G37" i="3"/>
  <c r="F37" i="3"/>
  <c r="E37" i="3"/>
  <c r="D37" i="3"/>
  <c r="C37" i="3"/>
  <c r="K36" i="3"/>
  <c r="J36" i="3"/>
  <c r="I36" i="3"/>
  <c r="H36" i="3"/>
  <c r="G36" i="3"/>
  <c r="F36" i="3"/>
  <c r="E36" i="3"/>
  <c r="D36" i="3"/>
  <c r="C36" i="3"/>
  <c r="L10" i="3"/>
  <c r="A9" i="3"/>
  <c r="A10" i="3" s="1"/>
  <c r="A11" i="3" s="1"/>
  <c r="A12" i="3" s="1"/>
  <c r="A13" i="3" s="1"/>
  <c r="A14" i="3" s="1"/>
  <c r="A15" i="3" s="1"/>
  <c r="A16" i="3" s="1"/>
  <c r="L8" i="3"/>
  <c r="A8" i="3"/>
  <c r="K9" i="3"/>
  <c r="J9" i="3"/>
  <c r="I31" i="3"/>
  <c r="H31" i="3"/>
  <c r="G9" i="3"/>
  <c r="F9" i="3"/>
  <c r="E9" i="3"/>
  <c r="D9" i="3"/>
  <c r="C9" i="3"/>
  <c r="E11" i="2"/>
  <c r="F11" i="2" s="1"/>
  <c r="E8" i="2"/>
  <c r="F8" i="2" s="1"/>
  <c r="E7" i="2"/>
  <c r="F7" i="2" s="1"/>
  <c r="E6" i="2"/>
  <c r="F6" i="2" s="1"/>
  <c r="E5" i="2"/>
  <c r="F5" i="2" s="1"/>
  <c r="E4" i="2"/>
  <c r="F4" i="2" s="1"/>
  <c r="E10" i="2"/>
  <c r="F10" i="2" s="1"/>
  <c r="G21" i="1"/>
  <c r="G31" i="1" s="1"/>
  <c r="E21" i="1"/>
  <c r="D21" i="1"/>
  <c r="F17" i="1"/>
  <c r="H17" i="1" s="1"/>
  <c r="H20" i="1"/>
  <c r="H16" i="1"/>
  <c r="F15" i="1"/>
  <c r="H15" i="1" s="1"/>
  <c r="F14" i="1"/>
  <c r="H14" i="1" s="1"/>
  <c r="F13" i="1"/>
  <c r="H13" i="1" s="1"/>
  <c r="F4" i="1"/>
  <c r="H4" i="1" s="1"/>
  <c r="F6" i="1"/>
  <c r="H6" i="1" s="1"/>
  <c r="C31" i="1" l="1"/>
  <c r="C22" i="1"/>
  <c r="D22" i="1"/>
  <c r="D31" i="1"/>
  <c r="E22" i="1"/>
  <c r="E31" i="1"/>
  <c r="E13" i="2"/>
  <c r="H9" i="1"/>
  <c r="F10" i="1"/>
  <c r="F21" i="1"/>
  <c r="C11" i="3"/>
  <c r="K11" i="3"/>
  <c r="K33" i="3"/>
  <c r="L37" i="3"/>
  <c r="D11" i="3"/>
  <c r="D33" i="3"/>
  <c r="L38" i="3"/>
  <c r="J11" i="3"/>
  <c r="J33" i="3"/>
  <c r="L39" i="3"/>
  <c r="F33" i="3"/>
  <c r="F11" i="3"/>
  <c r="E11" i="3"/>
  <c r="E33" i="3"/>
  <c r="G11" i="3"/>
  <c r="G33" i="3"/>
  <c r="L21" i="3"/>
  <c r="L36" i="3"/>
  <c r="L7" i="3"/>
  <c r="H9" i="3"/>
  <c r="L12" i="3"/>
  <c r="L14" i="3"/>
  <c r="J31" i="3"/>
  <c r="L13" i="3"/>
  <c r="I9" i="3"/>
  <c r="C31" i="3"/>
  <c r="K31" i="3"/>
  <c r="D31" i="3"/>
  <c r="C21" i="3"/>
  <c r="C23" i="3" s="1"/>
  <c r="C28" i="3" s="1"/>
  <c r="E31" i="3"/>
  <c r="F31" i="3"/>
  <c r="G31" i="3"/>
  <c r="G22" i="1"/>
  <c r="H30" i="1" l="1"/>
  <c r="H21" i="1"/>
  <c r="F31" i="1"/>
  <c r="H10" i="1"/>
  <c r="J35" i="3"/>
  <c r="J40" i="3" s="1"/>
  <c r="J16" i="3"/>
  <c r="D35" i="3"/>
  <c r="D40" i="3" s="1"/>
  <c r="D16" i="3"/>
  <c r="L31" i="3"/>
  <c r="E35" i="3"/>
  <c r="E40" i="3" s="1"/>
  <c r="E16" i="3"/>
  <c r="L9" i="3"/>
  <c r="F35" i="3"/>
  <c r="F40" i="3" s="1"/>
  <c r="F16" i="3"/>
  <c r="I33" i="3"/>
  <c r="I11" i="3"/>
  <c r="L23" i="3"/>
  <c r="K16" i="3"/>
  <c r="K35" i="3"/>
  <c r="K40" i="3" s="1"/>
  <c r="C16" i="3"/>
  <c r="C35" i="3"/>
  <c r="C40" i="3" s="1"/>
  <c r="G35" i="3"/>
  <c r="G40" i="3" s="1"/>
  <c r="G16" i="3"/>
  <c r="H33" i="3"/>
  <c r="H11" i="3"/>
  <c r="C33" i="3"/>
  <c r="F22" i="1"/>
  <c r="H31" i="1" l="1"/>
  <c r="H22" i="1"/>
  <c r="L11" i="3"/>
  <c r="L28" i="3"/>
  <c r="I35" i="3"/>
  <c r="I40" i="3" s="1"/>
  <c r="I16" i="3"/>
  <c r="L33" i="3"/>
  <c r="H35" i="3"/>
  <c r="H40" i="3" s="1"/>
  <c r="H16" i="3"/>
  <c r="L35" i="3" l="1"/>
  <c r="L16" i="3"/>
  <c r="L40" i="3" l="1"/>
</calcChain>
</file>

<file path=xl/sharedStrings.xml><?xml version="1.0" encoding="utf-8"?>
<sst xmlns="http://schemas.openxmlformats.org/spreadsheetml/2006/main" count="3246" uniqueCount="698">
  <si>
    <t>Tampa Electric</t>
  </si>
  <si>
    <t>Energy Supply</t>
  </si>
  <si>
    <t>Total 2022-2024</t>
  </si>
  <si>
    <t>Total 2022-2025</t>
  </si>
  <si>
    <t>Total Capital</t>
  </si>
  <si>
    <t>ECRC</t>
  </si>
  <si>
    <t>CETM</t>
  </si>
  <si>
    <t>AFUDC - Settlement</t>
  </si>
  <si>
    <t>AFUDC - Non-Settlement</t>
  </si>
  <si>
    <t>Rate Base</t>
  </si>
  <si>
    <t>Rate Base Projects</t>
  </si>
  <si>
    <t>TOTAL</t>
  </si>
  <si>
    <t>AFUDC  - Non-Settlement</t>
  </si>
  <si>
    <t>SABRA</t>
  </si>
  <si>
    <t>KRIS AFUDC</t>
  </si>
  <si>
    <t>FUTURE YEAR</t>
  </si>
  <si>
    <t xml:space="preserve">AGP UPGRADES </t>
  </si>
  <si>
    <t>Clean Energy</t>
  </si>
  <si>
    <t>FUTURE SOLAR</t>
  </si>
  <si>
    <t>FUTURE SOLAR LAND</t>
  </si>
  <si>
    <t>FUTURE ENERGY STORAGE</t>
  </si>
  <si>
    <t>OTHER</t>
  </si>
  <si>
    <t>CORPORATE HEADQUARTERS</t>
  </si>
  <si>
    <t>BEARSS OPERATIONS CENTER</t>
  </si>
  <si>
    <t>SOUTH TAMPA RESILIENCY</t>
  </si>
  <si>
    <t>POLK 1 FLEXIBILTY</t>
  </si>
  <si>
    <t xml:space="preserve">POLK FUEL DIVERSITY </t>
  </si>
  <si>
    <t xml:space="preserve">GRID COMMUNICATIONS NETWORK </t>
  </si>
  <si>
    <t>GRID RELIABILITY &amp; RESILENCE</t>
  </si>
  <si>
    <t>Category</t>
  </si>
  <si>
    <t>(All)</t>
  </si>
  <si>
    <t>Clause</t>
  </si>
  <si>
    <t>Witness</t>
  </si>
  <si>
    <t>Director</t>
  </si>
  <si>
    <t>Row Labels</t>
  </si>
  <si>
    <t>Sum of 2022</t>
  </si>
  <si>
    <t>Sum of 2023</t>
  </si>
  <si>
    <t>Sum of 2024</t>
  </si>
  <si>
    <t xml:space="preserve">Sum of 2022-2024 </t>
  </si>
  <si>
    <t>Sum of 2025</t>
  </si>
  <si>
    <t>BB MODERNIZATION</t>
  </si>
  <si>
    <t>ECRC CLAUSE</t>
  </si>
  <si>
    <t>BLANKETS</t>
  </si>
  <si>
    <t>BUILDING RENOVATION CAPITAL</t>
  </si>
  <si>
    <t>Grand Total</t>
  </si>
  <si>
    <t>OUTAGE</t>
  </si>
  <si>
    <t>PLANT IMPROVEMENT (NON-OUTAGE)</t>
  </si>
  <si>
    <t>AFUDC Eligible Project In-Service Prior to 2025</t>
  </si>
  <si>
    <t>SOLAR OPERATIONS</t>
  </si>
  <si>
    <t>SOLAR</t>
  </si>
  <si>
    <t>AFUDC NOT IN SERVICE BY 2027</t>
  </si>
  <si>
    <t>Prior Settlement</t>
  </si>
  <si>
    <t>(Multiple Items)</t>
  </si>
  <si>
    <t>KRIS</t>
  </si>
  <si>
    <t>Other AFUDC</t>
  </si>
  <si>
    <t>Stryker</t>
  </si>
  <si>
    <t>BB II Energy Storage Capacity</t>
  </si>
  <si>
    <t>BB Solar Predictive Controls SW</t>
  </si>
  <si>
    <t>Big Bend Floating Solar</t>
  </si>
  <si>
    <t>CarbonSAFE III (2711) Well Project</t>
  </si>
  <si>
    <t>CEDC Supercapacitors</t>
  </si>
  <si>
    <t>FCTC - Solar Zone Tables</t>
  </si>
  <si>
    <t>FCTC Flow Battery</t>
  </si>
  <si>
    <t>FCTC Interactive Engagements</t>
  </si>
  <si>
    <t>FCTC Microgrid Phase 1</t>
  </si>
  <si>
    <t>FCTC Technology-  Solar</t>
  </si>
  <si>
    <t>Tampa Convention Center Rooftop</t>
  </si>
  <si>
    <t>Aldazabal</t>
  </si>
  <si>
    <t>CSS-Corporate Support Services</t>
  </si>
  <si>
    <t>ED-Grid Modernization</t>
  </si>
  <si>
    <t>ES-Bayside Power Station</t>
  </si>
  <si>
    <t>ES-Outage &amp; Project Management</t>
  </si>
  <si>
    <t>ES-Polk Power Station</t>
  </si>
  <si>
    <t>DEC-BB Mod</t>
  </si>
  <si>
    <t>DEC-Distributed Energy</t>
  </si>
  <si>
    <t>DEC-Renewables</t>
  </si>
  <si>
    <t>FP Description</t>
  </si>
  <si>
    <t xml:space="preserve">2022-2024 </t>
  </si>
  <si>
    <t>2022-2025</t>
  </si>
  <si>
    <t>2026-2027</t>
  </si>
  <si>
    <t>Total Project</t>
  </si>
  <si>
    <t>2025 In-Service</t>
  </si>
  <si>
    <t>2026 SABRA</t>
  </si>
  <si>
    <t>2027 SABRA</t>
  </si>
  <si>
    <t>Total 2025-2027</t>
  </si>
  <si>
    <t>BUCKET</t>
  </si>
  <si>
    <t>Corporate Headquarters</t>
  </si>
  <si>
    <t>AFUDC Eligible Projects - In- Service 2025-2027 (SABRA)</t>
  </si>
  <si>
    <t>Bearss Operations Center</t>
  </si>
  <si>
    <t>EMS Upgrade - 2023</t>
  </si>
  <si>
    <t>2D Generator Field</t>
  </si>
  <si>
    <t>Aero Controls Upgrade</t>
  </si>
  <si>
    <t>Bayside 1 CT Blanket 2021</t>
  </si>
  <si>
    <t>Bayside 1 CT Blanket 2022</t>
  </si>
  <si>
    <t>Bayside 1 CT Blanket 2023</t>
  </si>
  <si>
    <t>Bayside 1 CT Blanket 2024</t>
  </si>
  <si>
    <t>Bayside 1 ST Blanket 2021</t>
  </si>
  <si>
    <t>Bayside 1 ST Blanket 2022</t>
  </si>
  <si>
    <t>Bayside 1 ST Blanket 2023</t>
  </si>
  <si>
    <t>Bayside 1 ST Blanket 2024</t>
  </si>
  <si>
    <t>BAYSIDE 1A CT</t>
  </si>
  <si>
    <t>Bayside 2 CT Blanket (2019)</t>
  </si>
  <si>
    <t>Bayside 2 CT Blanket Capital 2021</t>
  </si>
  <si>
    <t>Bayside 2 CT Blanket Capital 2022</t>
  </si>
  <si>
    <t>Bayside 2 CT Blanket Capital 2023</t>
  </si>
  <si>
    <t>Bayside 2 CT Blanket Capital 2024</t>
  </si>
  <si>
    <t>Bayside 2 ST Blanket 2021</t>
  </si>
  <si>
    <t>Bayside 2 ST Blanket 2022</t>
  </si>
  <si>
    <t>Bayside 2 ST Blanket 2023</t>
  </si>
  <si>
    <t>Bayside 2 ST Blanket 2024</t>
  </si>
  <si>
    <t>Bayside Aero 5 Blanket (2019)</t>
  </si>
  <si>
    <t>Bayside Aero Blanket 2022</t>
  </si>
  <si>
    <t>Bayside Aero Blanket 2023</t>
  </si>
  <si>
    <t>Bayside Aero Blanket 2024</t>
  </si>
  <si>
    <t>Bayside Blanket (Budget Only)</t>
  </si>
  <si>
    <t>Bayside Capital Spares</t>
  </si>
  <si>
    <t>Bayside Common Blanket (2019)</t>
  </si>
  <si>
    <t>Bayside Common Blanket 2022</t>
  </si>
  <si>
    <t>Bayside Common Blanket 2023</t>
  </si>
  <si>
    <t>Bayside Common Blanket 2024</t>
  </si>
  <si>
    <t>BAYSIDE CSA</t>
  </si>
  <si>
    <t>Bayside FT/SE HMI Scada Upgrade Pro</t>
  </si>
  <si>
    <t>BPS #1 GE HMI Upgrades</t>
  </si>
  <si>
    <t>BPS #1 GE Mark VI E Controller</t>
  </si>
  <si>
    <t>BPS #2 GE HMI Upgrades</t>
  </si>
  <si>
    <t>BPS #2 GE Mark VI E Control Boards</t>
  </si>
  <si>
    <t>BPS 1 Circ Water 66" Piping Replace</t>
  </si>
  <si>
    <t>BPS 1 Circ Water Discharge Piping R</t>
  </si>
  <si>
    <t>BPS 1 Circulating Water Pumps</t>
  </si>
  <si>
    <t>BPS 1 CT Blanket Capital (2020)</t>
  </si>
  <si>
    <t>BPS 1 LCI Static Starter Upgrade</t>
  </si>
  <si>
    <t>BPS 1 Partial Discharge Monitoring</t>
  </si>
  <si>
    <t>BPS 1 ST Vacuum Priming</t>
  </si>
  <si>
    <t>BPS 1 ST1 LP Turbine CWO</t>
  </si>
  <si>
    <t>BPS 1&amp;2 Steam Plant Sample Panel</t>
  </si>
  <si>
    <t>BPS 1ST Valves Rplc Project</t>
  </si>
  <si>
    <t>BPS 2 Cooling Circ Water Pump</t>
  </si>
  <si>
    <t>BPS 2 CT Blanket Capital (2020)</t>
  </si>
  <si>
    <t>BPS 2 CT Exciters</t>
  </si>
  <si>
    <t>BPS 2 DCS ABB S+ CONSOLE</t>
  </si>
  <si>
    <t>BPS 2 LCI Static Starter Upgrade</t>
  </si>
  <si>
    <t>BPS 2 Steam Turbine Valves Capital</t>
  </si>
  <si>
    <t>BPS 2 Switchgear Relay Upgrades</t>
  </si>
  <si>
    <t>BPS 3A Aero Engire Overhaul</t>
  </si>
  <si>
    <t>BPS 3B Aero Engine Overhaul</t>
  </si>
  <si>
    <t>BPS 4B AERO Engine Overhaul</t>
  </si>
  <si>
    <t>BPS 5A Aero Engine Overhaul</t>
  </si>
  <si>
    <t>BPS 5B AERO Engine Overhaul</t>
  </si>
  <si>
    <t>BPS 6B Aero Engine Overhaul</t>
  </si>
  <si>
    <t>BPS Admin Building Expansion</t>
  </si>
  <si>
    <t>BPS Advanced Hardware Upgd</t>
  </si>
  <si>
    <t>BPS Aero Catalyst Removal</t>
  </si>
  <si>
    <t>BPS Aero Pin Replacements</t>
  </si>
  <si>
    <t>BPS Aero Upgrades</t>
  </si>
  <si>
    <t>BPS Anhydrous Ammonia Pipeline</t>
  </si>
  <si>
    <t>BPS BEST Parking Solar Installation</t>
  </si>
  <si>
    <t>BPS Building Civil Upgrades</t>
  </si>
  <si>
    <t>BPS CEMs NOX &amp; CO Analyzers</t>
  </si>
  <si>
    <t>BPS Common Blanket Capital (2020)</t>
  </si>
  <si>
    <t>BPS CT 2B Generator Field Exchange</t>
  </si>
  <si>
    <t>BPS CT Spare Rotor Purchase</t>
  </si>
  <si>
    <t>BPS CT1 Exciters</t>
  </si>
  <si>
    <t>BPS CT2 Rotor Life Extension 1</t>
  </si>
  <si>
    <t>BPS DC Distribution</t>
  </si>
  <si>
    <t>BPS DCS ABB S+ Console Upgrade</t>
  </si>
  <si>
    <t>BPS DCS Harmony Rack Consol Upgrade</t>
  </si>
  <si>
    <t>BPS Demin System Upgrades</t>
  </si>
  <si>
    <t>BPS Gannon Operators Building</t>
  </si>
  <si>
    <t>BPS GE Predix</t>
  </si>
  <si>
    <t>BPS Hazardous Classification Upgrad</t>
  </si>
  <si>
    <t>BPS Impingement Reduction ECRC</t>
  </si>
  <si>
    <t>BPS Impingemet Reduction ECRC</t>
  </si>
  <si>
    <t>BPS Intake Structure Refurbishment</t>
  </si>
  <si>
    <t>BPS IR Windows for Switchgear</t>
  </si>
  <si>
    <t>BPS Iron Filtration System Install</t>
  </si>
  <si>
    <t>BPS MacDill Engines SpareParts&amp;Misc</t>
  </si>
  <si>
    <t>BPS Makeup Water - Pond Water and T</t>
  </si>
  <si>
    <t>BPS Non-Steam Safety Valve Replace</t>
  </si>
  <si>
    <t>BPS Pond 1 Berm Sys Liner Install</t>
  </si>
  <si>
    <t>BPS Pond 1 Partition Wall Replace/U</t>
  </si>
  <si>
    <t>BPS Pond 2 Berm Sys Upgrade</t>
  </si>
  <si>
    <t>BPS Reserve 2 Transformer Replaceme</t>
  </si>
  <si>
    <t>BPS RO Membrane Replacement</t>
  </si>
  <si>
    <t>BPS RO Replacement</t>
  </si>
  <si>
    <t>BPS Sample Panel 1 upgrade</t>
  </si>
  <si>
    <t>BPS Sample Panel 2 Upgrade</t>
  </si>
  <si>
    <t>BPS Seawall &amp; ICCP Replc Project</t>
  </si>
  <si>
    <t>BPS Seawall Refurbishment</t>
  </si>
  <si>
    <t>BPS ST1 Auxilary Equipment</t>
  </si>
  <si>
    <t>BPS ST1 Exciter Replacement</t>
  </si>
  <si>
    <t>BPS ST1 HP Outage</t>
  </si>
  <si>
    <t>BPS ST1 MHC to EHC Upgrade</t>
  </si>
  <si>
    <t>BPS ST1 PLI Modifications Project</t>
  </si>
  <si>
    <t xml:space="preserve">BPS ST2  GSU Bushing Replacem						</t>
  </si>
  <si>
    <t>BPS ST2 Auxilary Equipment (2023)</t>
  </si>
  <si>
    <t>BPS ST2 Exciter Replacement</t>
  </si>
  <si>
    <t>BPS ST2 HP Outage</t>
  </si>
  <si>
    <t>BPS ST2 Hydrogen Panel Replacement</t>
  </si>
  <si>
    <t>BPS ST2 MHC to EHC Upgrades</t>
  </si>
  <si>
    <t>BPS U1 Tunnel Coatng Sys Install</t>
  </si>
  <si>
    <t>BPS U2 CWP Rebuild/Upgrade</t>
  </si>
  <si>
    <t>BPS U2 Tunnel Coating Sys Install</t>
  </si>
  <si>
    <t>BPS UF Valve Upgrade</t>
  </si>
  <si>
    <t>BPS UF&amp;Cond Polisher DCS Controls M</t>
  </si>
  <si>
    <t>BPS Unit 1 Drain Pot Upgrades</t>
  </si>
  <si>
    <t>BPS Unit 2 CT Exhaust Duct Repairs</t>
  </si>
  <si>
    <t>BPS Unit 2 Drain Pot Upgrades</t>
  </si>
  <si>
    <t>BPS West Sea Wall Restoration</t>
  </si>
  <si>
    <t>BPS1 Air Inlet Filters</t>
  </si>
  <si>
    <t>BPS1 ST Fast Degas</t>
  </si>
  <si>
    <t>BPS1A HRSG Attemperator (2022)</t>
  </si>
  <si>
    <t>BPS1A LP Evap link Replacements (20</t>
  </si>
  <si>
    <t>BPS1B HRSG Attemperator (2022)</t>
  </si>
  <si>
    <t>BPS1B LP Evap link Replacements (20</t>
  </si>
  <si>
    <t>BPS1C LP Evap link Replacements (20</t>
  </si>
  <si>
    <t>BPS2 Air Inlet Filters</t>
  </si>
  <si>
    <t>BPS2 CT Generator Partial Discharge</t>
  </si>
  <si>
    <t>BPS2 ST Fast Degas</t>
  </si>
  <si>
    <t>BPS2 Transformer Cubicle Replc</t>
  </si>
  <si>
    <t>BPS2A HRSG Attemperator (2023)</t>
  </si>
  <si>
    <t>BPS2A LP Evap link Replacements (20</t>
  </si>
  <si>
    <t>BPS2A-2D HRSG VENTS AND DRAINS REPL</t>
  </si>
  <si>
    <t>BPS2B HRSG Attemperator</t>
  </si>
  <si>
    <t>BPS2B LP Evap link Replacements (20</t>
  </si>
  <si>
    <t>BPS2C HRSG Attemperator (2023)</t>
  </si>
  <si>
    <t>BPS2C LP Evap link Replacements (20</t>
  </si>
  <si>
    <t>BPS2D HRSG Attemperator (2023)</t>
  </si>
  <si>
    <t>BPS2D LP Evap link Replacements (20</t>
  </si>
  <si>
    <t>BS 4 CT AERO - Improvement</t>
  </si>
  <si>
    <t>CT Cutsforth Brush Upgrade BY1</t>
  </si>
  <si>
    <t>CT Cutsforth Brush Upgrade BY2</t>
  </si>
  <si>
    <t>ST2 Outage – LP Centerline Replacem</t>
  </si>
  <si>
    <t>ST2 PLI Modification/Upgrades</t>
  </si>
  <si>
    <t>ES-Big Bend Station</t>
  </si>
  <si>
    <t>Admin Building Plumbing Replacement</t>
  </si>
  <si>
    <t>BB Admin Building 1st Floor Remodel</t>
  </si>
  <si>
    <t>BB Aero Engine Overhaul</t>
  </si>
  <si>
    <t>BB Boiler Area Elev. 9' Lighting Re</t>
  </si>
  <si>
    <t>BB Coal Field PECO VFD Upgrades</t>
  </si>
  <si>
    <t>BB CT6 VT4 Failure</t>
  </si>
  <si>
    <t>BB PECO Cable Replacement</t>
  </si>
  <si>
    <t>BB Tools / Equipment 2023</t>
  </si>
  <si>
    <t>BB Tools / Equipment 2024</t>
  </si>
  <si>
    <t>BB Tools/Equipment 2021</t>
  </si>
  <si>
    <t>BB Tools/Equipment 2022</t>
  </si>
  <si>
    <t>BB1 Indeterminate 2023</t>
  </si>
  <si>
    <t>BB1 Indeterminate 2024</t>
  </si>
  <si>
    <t>BB1 STG Valve Rebuild</t>
  </si>
  <si>
    <t>BB1 Stranded Inv Retirement</t>
  </si>
  <si>
    <t>BB2 Indeterminate 2021</t>
  </si>
  <si>
    <t>BB3 Indeterminant Blanket 2020</t>
  </si>
  <si>
    <t>BB3 Indeterminate 2022</t>
  </si>
  <si>
    <t>BB3 Indeterminate 2023</t>
  </si>
  <si>
    <t>BB3 Stranded Inventory Retirement</t>
  </si>
  <si>
    <t>BB4 4A Aux SS Transformer</t>
  </si>
  <si>
    <t>BB4 4A Recirc Pump Repl</t>
  </si>
  <si>
    <t>BB4 4A/B FD/ID Trnsfrmr 2025 (Qty5)</t>
  </si>
  <si>
    <t>BB4 4GSU Oil Processing Skid</t>
  </si>
  <si>
    <t>BB4 A Mill Hot &amp; Tempering Air Duct</t>
  </si>
  <si>
    <t>BB4 Alterrex Rectifier Bridge Repl</t>
  </si>
  <si>
    <t>BB4 Alterrex Rewind</t>
  </si>
  <si>
    <t>BB4 B Mill Hot &amp; Tempering Air Duct</t>
  </si>
  <si>
    <t>BB4 Boiler Circ. Water 4D</t>
  </si>
  <si>
    <t>BB4 Boiler Feed Water Monitor Syst</t>
  </si>
  <si>
    <t>BB4 Boiler Lighting</t>
  </si>
  <si>
    <t>BB4 Boiler Water Walls</t>
  </si>
  <si>
    <t>BB4 Bottom Ash Seal Skirt</t>
  </si>
  <si>
    <t>BB4 CEMS Particulate Monitor</t>
  </si>
  <si>
    <t>BB4 Coal Nozzle Replacement</t>
  </si>
  <si>
    <t>BB4 Coarse Mesh Screen 4B</t>
  </si>
  <si>
    <t>BB4 Compressed Air Upgrades</t>
  </si>
  <si>
    <t>BB4 DCS Upgrade</t>
  </si>
  <si>
    <t>BB4 EH5 Replacement</t>
  </si>
  <si>
    <t>BB4 Emergency Generator</t>
  </si>
  <si>
    <t>BB4 FGD Common Inlet Duct</t>
  </si>
  <si>
    <t>BB4 FGD D2 Quencher Recycle PumpRpl</t>
  </si>
  <si>
    <t>BB4 Fire Control System</t>
  </si>
  <si>
    <t>BB4 Fluid Cool Spacers</t>
  </si>
  <si>
    <t>BB4 GSU Bushing Replacement</t>
  </si>
  <si>
    <t>BB4 GSU Replacement</t>
  </si>
  <si>
    <t>BB4 High Energy Pipe Hangers</t>
  </si>
  <si>
    <t>BB4 High Energy Pipe Hangers Ph 2</t>
  </si>
  <si>
    <t>BB4 Hot Air Supply Duct Expsn Joint</t>
  </si>
  <si>
    <t>BB4 ID Fans Wheels &amp; Enclosure Rplm</t>
  </si>
  <si>
    <t>BB4 ID FD Fan LCI Control Upgrade</t>
  </si>
  <si>
    <t>BB4 ID/FD Iso Transformer</t>
  </si>
  <si>
    <t>BB4 Indeterminant Blanket 2020</t>
  </si>
  <si>
    <t>BB4 Indeterminate 2021</t>
  </si>
  <si>
    <t>BB4 Indeterminate 2022</t>
  </si>
  <si>
    <t>BB4 Indeterminate 2023</t>
  </si>
  <si>
    <t>BB4 Indeterminate 2024</t>
  </si>
  <si>
    <t>BB4 Indeterminate Blanket 2019</t>
  </si>
  <si>
    <t>BB4 Intake Screen 4A Fine Mesh</t>
  </si>
  <si>
    <t>BB4 Intake Screen B</t>
  </si>
  <si>
    <t>BB4 NG Capacity Upgrade</t>
  </si>
  <si>
    <t>BB4 Precip (NW Corner) Area Stl Rpl</t>
  </si>
  <si>
    <t>BB4 PT Cabinet Replacement</t>
  </si>
  <si>
    <t>BB4 Pulerizer Overhauls (2021-2024)</t>
  </si>
  <si>
    <t>BB4 Remote Hydrogen Venting System</t>
  </si>
  <si>
    <t>BB4 SCR Catalyst</t>
  </si>
  <si>
    <t>BB4 SCR Expansion Joints</t>
  </si>
  <si>
    <t>BB4 SH Link Piping Replacement</t>
  </si>
  <si>
    <t>BB4 SH T &amp; Piping Inlet Header Repl</t>
  </si>
  <si>
    <t>BB4 SOFA Duct Expansion Joint Rplcm</t>
  </si>
  <si>
    <t>BB4 SST4B Cable Fault</t>
  </si>
  <si>
    <t>BB4 Station Service 4B Cable Instal</t>
  </si>
  <si>
    <t>BB4 Steam Cool Spacers</t>
  </si>
  <si>
    <t>BB4 Steam Drum Internal Replacement</t>
  </si>
  <si>
    <t>BB4 STG Bull Gear &amp; Spare Gearbox</t>
  </si>
  <si>
    <t>BB4 Structural Steel East of APH4</t>
  </si>
  <si>
    <t>BB4 Swell Control Valve Addition</t>
  </si>
  <si>
    <t>BB4 Transformers Platform</t>
  </si>
  <si>
    <t>BB4 West Turbine Roof Replacement</t>
  </si>
  <si>
    <t>BB4 WW TO WIND BOX EXPNSN JOINTS A</t>
  </si>
  <si>
    <t>BB4 WW TO WIND BOX EXPNSN JOINTS B</t>
  </si>
  <si>
    <t>BB4 WW TO WIND BOX EXPNSN JOINTS C</t>
  </si>
  <si>
    <t>BB4 WW TO WIND BOX EXPNSN JOINTS D</t>
  </si>
  <si>
    <t>BBC 316(b) Study (ECRC)  BB 1&amp;2</t>
  </si>
  <si>
    <t>BBC 3rd Floor Admin Build Remodel</t>
  </si>
  <si>
    <t>BBC 980 Loader Refurbishment</t>
  </si>
  <si>
    <t>BBC Breaker Monitoring</t>
  </si>
  <si>
    <t>BBC Common Blanket</t>
  </si>
  <si>
    <t>BBC DCS Common System Upgrade</t>
  </si>
  <si>
    <t>BBC ECRC FGD Waste Inj.</t>
  </si>
  <si>
    <t>BBC Electrical Air Compressor</t>
  </si>
  <si>
    <t>BBC Elevator No. 2 Replacement</t>
  </si>
  <si>
    <t>BBC Environmental Sump Pumps</t>
  </si>
  <si>
    <t>BBC Fire Water Line Replacement Ph2</t>
  </si>
  <si>
    <t>BBC FireWater Header Repl. Md. PH1</t>
  </si>
  <si>
    <t>BBC Freight Elevator Replacement</t>
  </si>
  <si>
    <t>BBC Gate 50 &amp; Fencing</t>
  </si>
  <si>
    <t>BBC GE Predix - Operator Rounds</t>
  </si>
  <si>
    <t>BBC Indeterminant 2021</t>
  </si>
  <si>
    <t>BBC Indeterminant 2022</t>
  </si>
  <si>
    <t>BBC Indeterminant 2023</t>
  </si>
  <si>
    <t>BBC Indeterminant Blanket 2020</t>
  </si>
  <si>
    <t>BBC Indeterminate 2024</t>
  </si>
  <si>
    <t>BBC Lightning Alert System</t>
  </si>
  <si>
    <t>BBC Perimeter Fencing</t>
  </si>
  <si>
    <t>BBC Power Cable - Critical Spare</t>
  </si>
  <si>
    <t>BBC Reserve 1 Cable Install</t>
  </si>
  <si>
    <t>BBC Seawall Intake Structure</t>
  </si>
  <si>
    <t>BBMOD &amp; BBC Cap Spare MV Breakers</t>
  </si>
  <si>
    <t>Big Bend Solar Carport Construction</t>
  </si>
  <si>
    <t>Bottom Ash Pond Piping Replacement</t>
  </si>
  <si>
    <t>CCR North Gypsum Stackout Drainage</t>
  </si>
  <si>
    <t>CCR North Stackout Drainage 3B</t>
  </si>
  <si>
    <t>CDR Coalfield Optimization</t>
  </si>
  <si>
    <t>CDR Indeterminant Blanket 2020</t>
  </si>
  <si>
    <t>CDR indeterminate 2021</t>
  </si>
  <si>
    <t>CDR Indeterminate 2022</t>
  </si>
  <si>
    <t>CDR Indeterminate 2023</t>
  </si>
  <si>
    <t>CDR Indeterminate 2024</t>
  </si>
  <si>
    <t>CDR J-2 Conveyor Structure Replace</t>
  </si>
  <si>
    <t>CSA 5 &amp; 6</t>
  </si>
  <si>
    <t>CT4 CEMS Shelter Repl</t>
  </si>
  <si>
    <t>CT4 Compliance Eqmnt NESHAP</t>
  </si>
  <si>
    <t>CT4 Controls Replacement</t>
  </si>
  <si>
    <t>CT4 Indeterminant 2023</t>
  </si>
  <si>
    <t>CT4 Indeterminant Blanket 2022</t>
  </si>
  <si>
    <t>CT4 Indeterminate 2024</t>
  </si>
  <si>
    <t>CT5 Breaker Monitoring</t>
  </si>
  <si>
    <t>CT5 Indeterminant 2023</t>
  </si>
  <si>
    <t>CT5 Indeterminant Blanket 2022</t>
  </si>
  <si>
    <t>CT5 Indeterminate 2024</t>
  </si>
  <si>
    <t>CT6 Breaker Monitoring</t>
  </si>
  <si>
    <t>CT6 Indeterminate 2023</t>
  </si>
  <si>
    <t>CT6 Indeterminate 2024</t>
  </si>
  <si>
    <t>ENV CCR Close No &amp; So Econ Ash Pond</t>
  </si>
  <si>
    <t>ENV SCR Expansion Joints</t>
  </si>
  <si>
    <t>FGD 13KV Motor &amp; Feeder Protection</t>
  </si>
  <si>
    <t>FGD A&amp;B DRUM VAT REPLACEMENT</t>
  </si>
  <si>
    <t>FGD Admin Building Roof Replacement</t>
  </si>
  <si>
    <t>FGD C Tower Struct Steel Phase II</t>
  </si>
  <si>
    <t>FGD C1 Absorber Recycle Pump Replac</t>
  </si>
  <si>
    <t>FGD C1 Quencher Pump</t>
  </si>
  <si>
    <t>FGD C3 Absorber Pump</t>
  </si>
  <si>
    <t>FGD D3 Absorber Pump</t>
  </si>
  <si>
    <t>FGD EAST STRUCTURAL STEEL REPLACEME</t>
  </si>
  <si>
    <t>FGD Indeterminant Blanket 2020</t>
  </si>
  <si>
    <t>FGD Indeterminate 2021</t>
  </si>
  <si>
    <t>FGD Indeterminate 2022</t>
  </si>
  <si>
    <t>FGD Indeterminate 2023</t>
  </si>
  <si>
    <t>FGD Indeterminate 2024</t>
  </si>
  <si>
    <t>FGD Marcanoflo Structure Repl</t>
  </si>
  <si>
    <t>FGD Structural Steel Integrity</t>
  </si>
  <si>
    <t>FGD Waste Handling Common Pipe Rack</t>
  </si>
  <si>
    <t>FGD Waste handling electric Room</t>
  </si>
  <si>
    <t>FGD WEST STRUCTURAL STEEL REPLACEME</t>
  </si>
  <si>
    <t>L2 Conveyor Walkway</t>
  </si>
  <si>
    <t>MCS Pond Discharge to Bay</t>
  </si>
  <si>
    <t>Operations Center Renovations</t>
  </si>
  <si>
    <t>Screenwell Crane Replacement</t>
  </si>
  <si>
    <t>Seawall Cathodic Protection</t>
  </si>
  <si>
    <t>ST1 Breaker Monitoring</t>
  </si>
  <si>
    <t>Unit 4 CEMS Shelter Repl</t>
  </si>
  <si>
    <t>Unit 4 MCC Replacement</t>
  </si>
  <si>
    <t>Unit 4 Turning Gear Replacement</t>
  </si>
  <si>
    <t>ES-Engineer &amp; Project Management</t>
  </si>
  <si>
    <t>PK Water Project - Owners Cost</t>
  </si>
  <si>
    <t>ES-Fuels</t>
  </si>
  <si>
    <t>ES-IRP Software Rplcmt</t>
  </si>
  <si>
    <t>Fuels - Tools &amp; Equip - BLKT</t>
  </si>
  <si>
    <t>SEEM Project</t>
  </si>
  <si>
    <t>BB1 Dismantlement</t>
  </si>
  <si>
    <t>BB2 Dismantlement</t>
  </si>
  <si>
    <t>BB3 Dismantlement</t>
  </si>
  <si>
    <t>BBC Dismantlement</t>
  </si>
  <si>
    <t>BBC PE&amp;M Misc. ES-CAPT-BLKT</t>
  </si>
  <si>
    <t>Capital Dashboard</t>
  </si>
  <si>
    <t>ED-South Tampa Resiliency Project</t>
  </si>
  <si>
    <t>Minor Renov to CM Bldg for MC Rlctn</t>
  </si>
  <si>
    <t>Portfolio Optimization Tool</t>
  </si>
  <si>
    <t>South Tampa Resiliency Project</t>
  </si>
  <si>
    <t>CT2 &amp; 3 Liquid Fuel Check Valve Rep</t>
  </si>
  <si>
    <t>CT2-3 Electrical Platforms</t>
  </si>
  <si>
    <t>CT3 Air Inlet Filter Replacement</t>
  </si>
  <si>
    <t>CT5 Air Inlet Filter Replacement</t>
  </si>
  <si>
    <t>Ft Green Rd Iso Valve Replacement</t>
  </si>
  <si>
    <t>GE MkVI HMI Upgrades</t>
  </si>
  <si>
    <t>HRSG 2-5 HP Stm Drn Line Repl.</t>
  </si>
  <si>
    <t>HRSG Nitrogen Generators</t>
  </si>
  <si>
    <t>PK 2 CC Power Block 2022 Blanket</t>
  </si>
  <si>
    <t>PK 2 CC Power Block 2023 Blanket</t>
  </si>
  <si>
    <t>PK 2 CC Power Block 2024 Blanket</t>
  </si>
  <si>
    <t>PK 2 CC Power Block 2025 Blanket</t>
  </si>
  <si>
    <t>PK 2-5 Spectrapak Replacement</t>
  </si>
  <si>
    <t>PK Admin Building A Renovations</t>
  </si>
  <si>
    <t>PK CC1 Aux Clg Wtr Modifications</t>
  </si>
  <si>
    <t>PK CC1 Gantry Crane Replacement</t>
  </si>
  <si>
    <t>PK Common 2021 Blanket</t>
  </si>
  <si>
    <t>PK Common 2022 Blanket</t>
  </si>
  <si>
    <t>PK Common 2023 Blanket</t>
  </si>
  <si>
    <t>PK Common 2024 Blanket</t>
  </si>
  <si>
    <t>PK Common 2025 Blanket</t>
  </si>
  <si>
    <t>PK Common DCS Cab Pwr Supply Upg</t>
  </si>
  <si>
    <t>PK Common Demin System Upgrades</t>
  </si>
  <si>
    <t>PK CT/ST1 Remote H2 Purge</t>
  </si>
  <si>
    <t>PK CT1 CO2 Tank Replacment</t>
  </si>
  <si>
    <t>PK CT1 Gen Breaker Replacement</t>
  </si>
  <si>
    <t>PK CT1 Gen Brg Fire Protection</t>
  </si>
  <si>
    <t>PK CT1 Generator Rewind</t>
  </si>
  <si>
    <t>PK CT1 Hot Gas Path Replacement</t>
  </si>
  <si>
    <t>PK CT1 Spare Combustion Hardware</t>
  </si>
  <si>
    <t>PK CT1 Spectrapak Replacement</t>
  </si>
  <si>
    <t>PK CT2 Fuel Gas Heater Skid Replace</t>
  </si>
  <si>
    <t>PK CT2 Generator Breaker Replacemen</t>
  </si>
  <si>
    <t>PK CT2 GSU Replacement</t>
  </si>
  <si>
    <t>PK CT2 Rotor Replacement</t>
  </si>
  <si>
    <t>PK CT2-3 PEECC MCC Replacement</t>
  </si>
  <si>
    <t>PK CT2-5 3rd Stage Bucket Purchase</t>
  </si>
  <si>
    <t>PK CT2-5 Electrical Reliability</t>
  </si>
  <si>
    <t>PK CT2-5 Gen Brg Fire Protection</t>
  </si>
  <si>
    <t>PK CT2-5 Hot Gas Path Parts</t>
  </si>
  <si>
    <t>PK CT3 Fuel Gas Heater Skid Replace</t>
  </si>
  <si>
    <t>PK CT3 Generator Breaker Replacemen</t>
  </si>
  <si>
    <t>PK CT4 Air Inlet Filter Replacement</t>
  </si>
  <si>
    <t>PK CT4 Generator Breaker Replacemen</t>
  </si>
  <si>
    <t>PK CT4-5 PEECC MCC Replacement</t>
  </si>
  <si>
    <t>PK CT5 Fuel Gas Heater Transformer</t>
  </si>
  <si>
    <t>PK CT5 Generator Breaker Replacemen</t>
  </si>
  <si>
    <t>PK CT5 Generator Protection Upgrad</t>
  </si>
  <si>
    <t>PK CTs 2-5 Inlet Filter House Coati</t>
  </si>
  <si>
    <t>PK ES Computers &amp; Related Purchases</t>
  </si>
  <si>
    <t>PK Fire Alarm Network Addition</t>
  </si>
  <si>
    <t>PK Gasifier 2021 Blanket</t>
  </si>
  <si>
    <t>PK Gasifier 2024 Blanket</t>
  </si>
  <si>
    <t>PK Gasifier 2025 Blanket</t>
  </si>
  <si>
    <t>PK Gasifier Flare Stack Replacement</t>
  </si>
  <si>
    <t>PK Gasifier Structure Remediation</t>
  </si>
  <si>
    <t>PK General Plant Abandoned Equipmen</t>
  </si>
  <si>
    <t>PK HRSG 2-5 MS Block Valve Replacem</t>
  </si>
  <si>
    <t>PK HRSG 2-5 NH3 Bullet Scrubber Tan</t>
  </si>
  <si>
    <t>PK HRSG2-5 Low Clearance Rack</t>
  </si>
  <si>
    <t>PK Inst Air Comp 1A Replacement</t>
  </si>
  <si>
    <t>PK Outfall Controls Upgrade</t>
  </si>
  <si>
    <t>PK RWTP 2021 Blanket</t>
  </si>
  <si>
    <t>PK RWTP 2022 Blanket</t>
  </si>
  <si>
    <t>PK RWTP 2023 Blanket</t>
  </si>
  <si>
    <t>PK RWTP 2024 Blanket</t>
  </si>
  <si>
    <t>PK RWTP 2025 Blanket</t>
  </si>
  <si>
    <t>PK RWTP A RO 2-3 Membranes</t>
  </si>
  <si>
    <t>PK RWTP A RO Membranes</t>
  </si>
  <si>
    <t>PK RWTP B RO Stg 2-3 Membranes</t>
  </si>
  <si>
    <t>PK RWTP C RO Stage 2-3 Membranes</t>
  </si>
  <si>
    <t>PK RWTP RO C Stage 1 Membrane Repl</t>
  </si>
  <si>
    <t>PK RWTP UF Pretreatment</t>
  </si>
  <si>
    <t>PK ST1 Hydrogen Analyzer Repl</t>
  </si>
  <si>
    <t>PK ST2 R/S HP Ctrl Vlv Internals</t>
  </si>
  <si>
    <t>PK- Steam Turbine 2 Major Overhaul</t>
  </si>
  <si>
    <t>PK Unit 1 Power Block 2021 Blanket</t>
  </si>
  <si>
    <t>PK Unit 1 Power Block 2022 Blanket</t>
  </si>
  <si>
    <t>PK Unit 1 Power Block 2023 Blanket</t>
  </si>
  <si>
    <t>PK Unit 1 Power Block 2024 Blanket</t>
  </si>
  <si>
    <t>PK Unit 1 Power Block 2025 Blanket</t>
  </si>
  <si>
    <t>PK1 Analyzer Upgrades</t>
  </si>
  <si>
    <t>PK1 B Air Compressor Replacement</t>
  </si>
  <si>
    <t>PK1 Crane Bay &amp; Gantry Coating</t>
  </si>
  <si>
    <t>Pk1 CSA Expense</t>
  </si>
  <si>
    <t>PK1 CT Power Block</t>
  </si>
  <si>
    <t>PK1 DCS</t>
  </si>
  <si>
    <t>PK1 Decomp Furnace 1st Baffle Rplc</t>
  </si>
  <si>
    <t>PK1 Decomp Furnace 1st Pass Refacto</t>
  </si>
  <si>
    <t>PK1 Gasifier - Blankets</t>
  </si>
  <si>
    <t>PK1 Polk Common - Blankets</t>
  </si>
  <si>
    <t>PK1 RJQ Containment Area Liner Rplc</t>
  </si>
  <si>
    <t>PK1 Saturator Heater</t>
  </si>
  <si>
    <t>PK2 CO2 Tank Addition</t>
  </si>
  <si>
    <t>PK2 CT Electrical Replacement</t>
  </si>
  <si>
    <t>PK2 DCS</t>
  </si>
  <si>
    <t>PK2 HRSG Bridges</t>
  </si>
  <si>
    <t>PK2 HRSG Catalyst</t>
  </si>
  <si>
    <t>PK2 HRSG Duct Burners</t>
  </si>
  <si>
    <t>Polk 1 Flexibility Project</t>
  </si>
  <si>
    <t>POLK 2 - CSA</t>
  </si>
  <si>
    <t>Polk 2 CC IA Compressor Replacement</t>
  </si>
  <si>
    <t>Polk 2-5 Power Block Blanket</t>
  </si>
  <si>
    <t>POLK 3 - CSA</t>
  </si>
  <si>
    <t>POLK 4 - CSA</t>
  </si>
  <si>
    <t>POLK 5 - CSA</t>
  </si>
  <si>
    <t>Polk Common Blanket</t>
  </si>
  <si>
    <t>Polk DCS Virtual Host Cluster Addit</t>
  </si>
  <si>
    <t>Polk Fuel Diversity Project</t>
  </si>
  <si>
    <t>Polk M&amp;R West Valve Train Upgrade</t>
  </si>
  <si>
    <t>Polk Main Gate Security Upgrades</t>
  </si>
  <si>
    <t>POLK POWER STATION</t>
  </si>
  <si>
    <t>Polk Remote Relay Monitoring and GP</t>
  </si>
  <si>
    <t>POLK STATION EQUIPMENT TOOLS</t>
  </si>
  <si>
    <t>RO EDI Enclosure</t>
  </si>
  <si>
    <t>RWTP B RO Trn Stage 1 Membrane Repl</t>
  </si>
  <si>
    <t>ST2 Alstom HMI Upgrades</t>
  </si>
  <si>
    <t>Storm Ian - Pk Flare Demolition</t>
  </si>
  <si>
    <t>ES-Solar Operations</t>
  </si>
  <si>
    <t>Alafia Solar Capital Blanket</t>
  </si>
  <si>
    <t>Balm Solar Capital Blanket</t>
  </si>
  <si>
    <t>BB2 Solar Blanket Capital</t>
  </si>
  <si>
    <t>Big Bend I Solar (BLANKET)</t>
  </si>
  <si>
    <t>Bonnie Mine Modular Building</t>
  </si>
  <si>
    <t>Bonnie Mine Solar</t>
  </si>
  <si>
    <t>Dover Solar Capital Blanket</t>
  </si>
  <si>
    <t>Durrance Solar Capital Blanket</t>
  </si>
  <si>
    <t>ES Solar Operations General Capital</t>
  </si>
  <si>
    <t>Grange Hall Solar</t>
  </si>
  <si>
    <t>Jamison Inverter Skid Replacement</t>
  </si>
  <si>
    <t>Jamison Solar Blanket Capital</t>
  </si>
  <si>
    <t>Juniper Solar Capital Blanket</t>
  </si>
  <si>
    <t>Lake Hancock Solar</t>
  </si>
  <si>
    <t>Lake Mabel Solar Capital Blanket</t>
  </si>
  <si>
    <t>Laurel Oaks Solar Blanket Capital</t>
  </si>
  <si>
    <t>Lithia Solar Blanket Capital</t>
  </si>
  <si>
    <t>LMR Solar Blanket</t>
  </si>
  <si>
    <t>Magnolia Solar Blanket Capital</t>
  </si>
  <si>
    <t>Mountain View Modular Building</t>
  </si>
  <si>
    <t>Mountain View Solar Blanket Capital</t>
  </si>
  <si>
    <t>Payne Creek Modular Building</t>
  </si>
  <si>
    <t>Payne Creek Solar Capital</t>
  </si>
  <si>
    <t>Payne Creek Water Storage Improvemt</t>
  </si>
  <si>
    <t>Peace Creek Solar</t>
  </si>
  <si>
    <t>Riverside Solar Capital</t>
  </si>
  <si>
    <t>Solar In-House</t>
  </si>
  <si>
    <t>Tracker Replacement - Gamechange</t>
  </si>
  <si>
    <t>Wimauma Solar Blanket</t>
  </si>
  <si>
    <t>Wimauma Solar Blanket Capital</t>
  </si>
  <si>
    <t>BB Modernization - CC Common</t>
  </si>
  <si>
    <t>BB Modernization - CT 5 &amp; 6</t>
  </si>
  <si>
    <t>BB Modernization - ST &amp; HRSG</t>
  </si>
  <si>
    <t>CEDC Blanket Capital</t>
  </si>
  <si>
    <t>ED Energy Storage - Lake Mabel</t>
  </si>
  <si>
    <t>ED Energy Storage Cap - Wimauma</t>
  </si>
  <si>
    <t>ED Energy Storage Capacit - MacDill</t>
  </si>
  <si>
    <t>ED Energy Storage Capacity - Dover</t>
  </si>
  <si>
    <t>Energy Storage Capacity 15MW Dover</t>
  </si>
  <si>
    <t>Energy Storage Capacity 2025 (Lake Mabel)</t>
  </si>
  <si>
    <t>Energy Storage Capacity 2025 (Macdill)</t>
  </si>
  <si>
    <t>Energy Storage Capacity 2025 (Wimauma)</t>
  </si>
  <si>
    <t>Energy Storage Capacity 2026 (BB)</t>
  </si>
  <si>
    <t>Lake Mabel Energy Storage Capacity</t>
  </si>
  <si>
    <t>MacDill Energy Storage Capacity</t>
  </si>
  <si>
    <t>Polk Environmental Compliance</t>
  </si>
  <si>
    <t>AFUDC Eligible Project - In Service after 2027</t>
  </si>
  <si>
    <t>Wimauma Energy Storage Capacity</t>
  </si>
  <si>
    <t>DEC-Environmental</t>
  </si>
  <si>
    <t>CES New CTL Building</t>
  </si>
  <si>
    <t>EH&amp;S Computer &amp; Related</t>
  </si>
  <si>
    <t>Environmental Air Blanket Capital</t>
  </si>
  <si>
    <t>Environmental FCTC Blanket Capital</t>
  </si>
  <si>
    <t>Environmental General Blanket Cap</t>
  </si>
  <si>
    <t>Environmental Lab Services Blanket</t>
  </si>
  <si>
    <t>Environmental Lab Services BLKT</t>
  </si>
  <si>
    <t>Environmental MVC Blanket Capital</t>
  </si>
  <si>
    <t>Environmental MVC Misc BLKT</t>
  </si>
  <si>
    <t>FCTC Project Blanket Activity</t>
  </si>
  <si>
    <t>Alafia Solar Development</t>
  </si>
  <si>
    <t>Big Bend II Phase 1 Solar Dev</t>
  </si>
  <si>
    <t>Big Bend III Solar Development</t>
  </si>
  <si>
    <t>Big Four Mine Solar Construction</t>
  </si>
  <si>
    <t>Bullfrog Creek Solar Construction</t>
  </si>
  <si>
    <t>Clean Energy &amp; Emerging Tech Cap</t>
  </si>
  <si>
    <t>Cottonmouth Ranch Solar</t>
  </si>
  <si>
    <t>Dover Solar Development</t>
  </si>
  <si>
    <t>Durrance Solar Development</t>
  </si>
  <si>
    <t>ED Solar - Alafia Solar</t>
  </si>
  <si>
    <t>ED Solar - Big Bend II Phase 2</t>
  </si>
  <si>
    <t>ED Solar - Big Bend Solar II</t>
  </si>
  <si>
    <t>ED Solar - Big Four Mine Solar</t>
  </si>
  <si>
    <t>ED Solar - Brewster Solar</t>
  </si>
  <si>
    <t>ED Solar - Bullfrog Creek Solar</t>
  </si>
  <si>
    <t>ED Solar - Cottonmouth Solar</t>
  </si>
  <si>
    <t>ED Solar - Dover Solar</t>
  </si>
  <si>
    <t>ED Solar - Durrance Solar</t>
  </si>
  <si>
    <t>ED Solar - English Creek Solar</t>
  </si>
  <si>
    <t>ED Solar - Farmland Reserve Solar</t>
  </si>
  <si>
    <t>ED Solar - FFD Solar</t>
  </si>
  <si>
    <t>ED Solar - Jamison</t>
  </si>
  <si>
    <t>ED Solar - Juniper Solar</t>
  </si>
  <si>
    <t>ED Solar - Lake Mabel Solar</t>
  </si>
  <si>
    <t>ED Solar - Laurel Oaks (DelMonte HC</t>
  </si>
  <si>
    <t>ED Solar - Magnolia (Del Monte PC)</t>
  </si>
  <si>
    <t>ED Solar - Mountain View</t>
  </si>
  <si>
    <t>ED Solar - Riverside Solar</t>
  </si>
  <si>
    <t>English Creek Solar Development</t>
  </si>
  <si>
    <t>Farmland Reserve Solar Construction</t>
  </si>
  <si>
    <t>Farmland Solar Land Purchase</t>
  </si>
  <si>
    <t>FFD Solar Construction</t>
  </si>
  <si>
    <t>FFD Solar Land Purchase</t>
  </si>
  <si>
    <t>Jamison Solar Development</t>
  </si>
  <si>
    <t>Juniper Solar Dev</t>
  </si>
  <si>
    <t>Juniper Solar Land Purchase</t>
  </si>
  <si>
    <t>Lake Mabel Solar Dev</t>
  </si>
  <si>
    <t>Land for Future Solar</t>
  </si>
  <si>
    <t>Laurel Oaks Solar Development</t>
  </si>
  <si>
    <t>Magnolia Solar Site Development</t>
  </si>
  <si>
    <t>Mountain View Solar Development</t>
  </si>
  <si>
    <t>Quail Meadow Solar Development</t>
  </si>
  <si>
    <t>Riverside Solar Development</t>
  </si>
  <si>
    <t>Small Scale Solar - Agrivoltaics</t>
  </si>
  <si>
    <t>Solar Energy Center Improvements</t>
  </si>
  <si>
    <t>Solar Energy Center Renovations</t>
  </si>
  <si>
    <t>Solar W4 P 4 ROOD 2027</t>
  </si>
  <si>
    <t>Solar W4 P1 Land Solvay 2026</t>
  </si>
  <si>
    <t>Solar W4 P1 Solvay 2026</t>
  </si>
  <si>
    <t>Solar W4 P2 Wimauma 3 2026</t>
  </si>
  <si>
    <t>Solar W4 P3 Clear springs 2027</t>
  </si>
  <si>
    <t>Solar W4 P3 Land Clear Springs 2027</t>
  </si>
  <si>
    <t>Solar W4 P4 Land ROOD 2027</t>
  </si>
  <si>
    <t>Solar W4 P5 Land CLR springs 2 2028</t>
  </si>
  <si>
    <t>Solar W4 P6 Land Mattianiah 2028</t>
  </si>
  <si>
    <t>Solar W4 P7 TBD 2028</t>
  </si>
  <si>
    <t>Solar Wave 3 Solar Modules</t>
  </si>
  <si>
    <t>Solar Wave 3 Trackers &amp; Inverters</t>
  </si>
  <si>
    <t>SW3 (Big Four &amp; Farmland)</t>
  </si>
  <si>
    <t>SW3 (Cotton Mouth &amp; FFD)</t>
  </si>
  <si>
    <t>SW4  (Brewster &amp; Wimauma)</t>
  </si>
  <si>
    <t xml:space="preserve">SW4 (Clear Springs &amp; ROOD) </t>
  </si>
  <si>
    <t>WAVE 2 Solar Panels</t>
  </si>
  <si>
    <t>Wimauma Solar Land Purchase</t>
  </si>
  <si>
    <t>SW4 (Clear Springs 2 2028</t>
  </si>
  <si>
    <t>SW4 (Mattiahiah 2028)</t>
  </si>
  <si>
    <t>SW4 TBD 2028</t>
  </si>
  <si>
    <t>Summary</t>
  </si>
  <si>
    <t>Cumulative Orig Cost Plant In Service</t>
  </si>
  <si>
    <t xml:space="preserve">Incremental Orig Cost </t>
  </si>
  <si>
    <t xml:space="preserve">13-Mo Avg Orig Cost * </t>
  </si>
  <si>
    <t>Incremental 13-mo Avg *</t>
  </si>
  <si>
    <t>Project Name</t>
  </si>
  <si>
    <t>South Tampa Resilience Project</t>
  </si>
  <si>
    <t xml:space="preserve">Grid Communication Network Project </t>
  </si>
  <si>
    <t>Solar Wave 3 - 2025 (Cotton Mouth &amp; FFD)</t>
  </si>
  <si>
    <t>Solar Wave 3 - 2026 (Big Four &amp; Farmland)</t>
  </si>
  <si>
    <t>Solar Wave 4 - 2026 (Brewster &amp; Wimauma)</t>
  </si>
  <si>
    <t>Wimauma Energy Storage Capacity Project  - 2025</t>
  </si>
  <si>
    <t>Lake Mabel Energy Storage Capacity Project  - 2025</t>
  </si>
  <si>
    <t>MacDill Energy Storage Capacity Project  - 2025</t>
  </si>
  <si>
    <t>Big Bend II Energy Storage Capacity Project - 2025</t>
  </si>
  <si>
    <t>Grid Reliability &amp; Resilience Projects - 2026</t>
  </si>
  <si>
    <t>Total</t>
  </si>
  <si>
    <t>* Totals for each project may be off a few $'s from Major Projects Rev Req Calcs for MFR file due to trailing decimals and rounding.</t>
  </si>
  <si>
    <t>Exhibit x - Specific Asset Base Rate Adjustments</t>
  </si>
  <si>
    <t>DRAFT</t>
  </si>
  <si>
    <t>Summary Revenue Requirement</t>
  </si>
  <si>
    <t>Bearss Operation Center</t>
  </si>
  <si>
    <t>Solar</t>
  </si>
  <si>
    <t>Battery Storage</t>
  </si>
  <si>
    <t>Grid Reliability &amp; Resilience Projects</t>
  </si>
  <si>
    <t>Check</t>
  </si>
  <si>
    <t>2026 Incremental Revenue Requirement</t>
  </si>
  <si>
    <t>Original In-Service Amount (13-Month Average)</t>
  </si>
  <si>
    <t>Rate of Return (MFR A-1)</t>
  </si>
  <si>
    <t>NOI Requested (line 1 x line 2)</t>
  </si>
  <si>
    <t>NOI Multiplier (MFR A-1)</t>
  </si>
  <si>
    <t>Return on Rate Base (line 3 x line 4)</t>
  </si>
  <si>
    <t>O&amp;M Expense</t>
  </si>
  <si>
    <t>Depreciation Expense</t>
  </si>
  <si>
    <t>Property Taxes</t>
  </si>
  <si>
    <t>ITC Amortization / PTC</t>
  </si>
  <si>
    <t>Total Revenue Requirement (Sum of lines 5 - 9)</t>
  </si>
  <si>
    <t>2027 Incremental Revenue Requirement</t>
  </si>
  <si>
    <t>Total 2026 and 2027 Incremental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</si>
</sst>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"/>
    <numFmt numFmtId="166" formatCode="_(* #,##0.00000_);_(* \(#,##0.00000\);_(* &quot;-&quot;??_);_(@_)"/>
    <numFmt numFmtId="167" formatCode="_(&quot;$&quot;* #,##0_);_(&quot;$&quot;* \(#,##0\);_(&quot;$&quot;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1" applyNumberFormat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164" fontId="3" fillId="0" borderId="1" xfId="1" applyNumberFormat="1" applyFont="1" applyBorder="1"/>
    <xf numFmtId="0" fontId="6" fillId="0" borderId="0" xfId="0" applyFont="1"/>
    <xf numFmtId="164" fontId="0" fillId="0" borderId="0" xfId="0" applyNumberFormat="1"/>
    <xf numFmtId="0" fontId="7" fillId="0" borderId="0" xfId="0" applyFont="1"/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3" borderId="4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3" fillId="3" borderId="5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2" fillId="0" borderId="0" xfId="0" applyFont="1"/>
    <xf numFmtId="165" fontId="10" fillId="0" borderId="0" xfId="0" applyNumberFormat="1" applyFont="1"/>
    <xf numFmtId="0" fontId="10" fillId="0" borderId="0" xfId="0" applyFont="1" applyAlignment="1">
      <alignment horizontal="left" indent="1"/>
    </xf>
    <xf numFmtId="164" fontId="2" fillId="0" borderId="0" xfId="0" applyNumberFormat="1" applyFont="1"/>
    <xf numFmtId="10" fontId="0" fillId="0" borderId="1" xfId="2" applyNumberFormat="1" applyFont="1" applyBorder="1"/>
    <xf numFmtId="166" fontId="0" fillId="0" borderId="1" xfId="1" applyNumberFormat="1" applyFont="1" applyBorder="1"/>
    <xf numFmtId="164" fontId="0" fillId="0" borderId="7" xfId="1" applyNumberFormat="1" applyFont="1" applyBorder="1"/>
    <xf numFmtId="3" fontId="0" fillId="0" borderId="0" xfId="0" applyNumberFormat="1"/>
    <xf numFmtId="164" fontId="11" fillId="0" borderId="0" xfId="1" applyNumberFormat="1" applyFont="1"/>
    <xf numFmtId="164" fontId="11" fillId="0" borderId="0" xfId="1" applyNumberFormat="1" applyFont="1" applyAlignment="1">
      <alignment horizontal="center"/>
    </xf>
    <xf numFmtId="164" fontId="12" fillId="0" borderId="0" xfId="1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17" fontId="13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0" fontId="0" fillId="4" borderId="0" xfId="0" applyFill="1"/>
    <xf numFmtId="164" fontId="0" fillId="0" borderId="8" xfId="1" applyNumberFormat="1" applyFont="1" applyFill="1" applyBorder="1"/>
    <xf numFmtId="164" fontId="0" fillId="0" borderId="8" xfId="1" applyNumberFormat="1" applyFont="1" applyBorder="1"/>
    <xf numFmtId="164" fontId="0" fillId="5" borderId="8" xfId="1" applyNumberFormat="1" applyFont="1" applyFill="1" applyBorder="1"/>
    <xf numFmtId="0" fontId="14" fillId="0" borderId="0" xfId="0" applyFont="1"/>
    <xf numFmtId="167" fontId="0" fillId="0" borderId="0" xfId="0" applyNumberFormat="1"/>
    <xf numFmtId="164" fontId="3" fillId="0" borderId="0" xfId="1" applyNumberFormat="1" applyFont="1" applyBorder="1"/>
    <xf numFmtId="0" fontId="0" fillId="0" borderId="1" xfId="0" applyBorder="1" applyAlignment="1">
      <alignment horizontal="left"/>
    </xf>
    <xf numFmtId="167" fontId="0" fillId="0" borderId="1" xfId="0" applyNumberFormat="1" applyBorder="1"/>
    <xf numFmtId="164" fontId="0" fillId="0" borderId="1" xfId="0" applyNumberFormat="1" applyBorder="1"/>
    <xf numFmtId="167" fontId="0" fillId="0" borderId="0" xfId="0" applyNumberFormat="1" applyAlignment="1">
      <alignment horizontal="right"/>
    </xf>
    <xf numFmtId="0" fontId="0" fillId="0" borderId="0" xfId="0" applyAlignment="1">
      <alignment horizontal="left" indent="1"/>
    </xf>
    <xf numFmtId="0" fontId="15" fillId="0" borderId="0" xfId="0" applyFont="1"/>
    <xf numFmtId="0" fontId="16" fillId="0" borderId="0" xfId="0" applyFont="1"/>
    <xf numFmtId="164" fontId="0" fillId="6" borderId="0" xfId="0" applyNumberFormat="1" applyFill="1"/>
    <xf numFmtId="0" fontId="0" fillId="7" borderId="0" xfId="0" applyFill="1"/>
    <xf numFmtId="0" fontId="17" fillId="0" borderId="0" xfId="0" applyFont="1"/>
    <xf numFmtId="0" fontId="17" fillId="0" borderId="1" xfId="0" applyFont="1" applyBorder="1"/>
    <xf numFmtId="0" fontId="16" fillId="0" borderId="1" xfId="0" applyFont="1" applyBorder="1"/>
    <xf numFmtId="0" fontId="0" fillId="2" borderId="0" xfId="0" applyFill="1"/>
    <xf numFmtId="164" fontId="0" fillId="2" borderId="0" xfId="0" applyNumberFormat="1" applyFill="1"/>
    <xf numFmtId="164" fontId="0" fillId="2" borderId="1" xfId="0" applyNumberFormat="1" applyFill="1" applyBorder="1"/>
    <xf numFmtId="0" fontId="0" fillId="8" borderId="0" xfId="0" applyFill="1"/>
    <xf numFmtId="164" fontId="0" fillId="9" borderId="0" xfId="0" applyNumberFormat="1" applyFill="1"/>
    <xf numFmtId="0" fontId="0" fillId="10" borderId="0" xfId="0" applyFill="1"/>
    <xf numFmtId="0" fontId="0" fillId="11" borderId="0" xfId="0" applyFill="1"/>
    <xf numFmtId="0" fontId="3" fillId="0" borderId="0" xfId="0" applyFont="1" applyAlignment="1">
      <alignment horizontal="left"/>
    </xf>
    <xf numFmtId="167" fontId="3" fillId="0" borderId="0" xfId="0" applyNumberFormat="1" applyFont="1"/>
    <xf numFmtId="0" fontId="0" fillId="0" borderId="0" xfId="0" pivotButton="1"/>
    <xf numFmtId="164" fontId="3" fillId="0" borderId="0" xfId="0" applyNumberFormat="1" applyFont="1"/>
    <xf numFmtId="164" fontId="0" fillId="11" borderId="0" xfId="0" applyNumberForma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84">
    <dxf>
      <fill>
        <patternFill patternType="solid">
          <fgColor rgb="FFE8E8E8"/>
          <bgColor rgb="FF000000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62.371173726853" createdVersion="8" refreshedVersion="8" minRefreshableVersion="3" recordCount="576" xr:uid="{6CF1BEE1-51CC-4414-9760-4CFDA046B4B6}">
  <cacheSource type="worksheet">
    <worksheetSource ref="A1:Q577" sheet="Bucket Details"/>
  </cacheSource>
  <cacheFields count="17">
    <cacheField name="Witness" numFmtId="0">
      <sharedItems containsBlank="1" count="3">
        <s v="Aldazabal"/>
        <s v="Stryker"/>
        <m u="1"/>
      </sharedItems>
    </cacheField>
    <cacheField name="Director" numFmtId="0">
      <sharedItems containsBlank="1" count="14">
        <s v="CSS-Corporate Support Services"/>
        <s v="ED-Grid Modernization"/>
        <s v="ES-Bayside Power Station"/>
        <s v="ES-Big Bend Station"/>
        <s v="ES-Engineer &amp; Project Management"/>
        <s v="ES-Fuels"/>
        <s v="ES-Outage &amp; Project Management"/>
        <s v="ES-Polk Power Station"/>
        <s v="ES-Solar Operations"/>
        <s v="DEC-BB Mod"/>
        <s v="DEC-Distributed Energy"/>
        <s v="DEC-Environmental"/>
        <s v="DEC-Renewables"/>
        <m u="1"/>
      </sharedItems>
    </cacheField>
    <cacheField name="FP Description" numFmtId="0">
      <sharedItems containsBlank="1" count="575">
        <s v="Corporate Headquarters"/>
        <s v="Bearss Operations Center"/>
        <s v="EMS Upgrade - 2023"/>
        <s v="2D Generator Field"/>
        <s v="Aero Controls Upgrade"/>
        <s v="Bayside 1 CT Blanket 2021"/>
        <s v="Bayside 1 CT Blanket 2022"/>
        <s v="Bayside 1 CT Blanket 2023"/>
        <s v="Bayside 1 CT Blanket 2024"/>
        <s v="Bayside 1 ST Blanket 2021"/>
        <s v="Bayside 1 ST Blanket 2022"/>
        <s v="Bayside 1 ST Blanket 2023"/>
        <s v="Bayside 1 ST Blanket 2024"/>
        <s v="BAYSIDE 1A CT"/>
        <s v="Bayside 2 CT Blanket (2019)"/>
        <s v="Bayside 2 CT Blanket Capital 2021"/>
        <s v="Bayside 2 CT Blanket Capital 2022"/>
        <s v="Bayside 2 CT Blanket Capital 2023"/>
        <s v="Bayside 2 CT Blanket Capital 2024"/>
        <s v="Bayside 2 ST Blanket 2021"/>
        <s v="Bayside 2 ST Blanket 2022"/>
        <s v="Bayside 2 ST Blanket 2023"/>
        <s v="Bayside 2 ST Blanket 2024"/>
        <s v="Bayside Aero 5 Blanket (2019)"/>
        <s v="Bayside Aero Blanket 2022"/>
        <s v="Bayside Aero Blanket 2023"/>
        <s v="Bayside Aero Blanket 2024"/>
        <s v="Bayside Blanket (Budget Only)"/>
        <s v="Bayside Capital Spares"/>
        <s v="Bayside Common Blanket (2019)"/>
        <s v="Bayside Common Blanket 2022"/>
        <s v="Bayside Common Blanket 2023"/>
        <s v="Bayside Common Blanket 2024"/>
        <s v="BAYSIDE CSA"/>
        <s v="Bayside FT/SE HMI Scada Upgrade Pro"/>
        <s v="BPS #1 GE HMI Upgrades"/>
        <s v="BPS #1 GE Mark VI E Controller"/>
        <s v="BPS #2 GE HMI Upgrades"/>
        <s v="BPS #2 GE Mark VI E Control Boards"/>
        <s v="BPS 1 Circ Water 66&quot; Piping Replace"/>
        <s v="BPS 1 Circ Water Discharge Piping R"/>
        <s v="BPS 1 Circulating Water Pumps"/>
        <s v="BPS 1 CT Blanket Capital (2020)"/>
        <s v="BPS 1 LCI Static Starter Upgrade"/>
        <s v="BPS 1 Partial Discharge Monitoring"/>
        <s v="BPS 1 ST Vacuum Priming"/>
        <s v="BPS 1 ST1 LP Turbine CWO"/>
        <s v="BPS 1&amp;2 Steam Plant Sample Panel"/>
        <s v="BPS 1ST Valves Rplc Project"/>
        <s v="BPS 2 Cooling Circ Water Pump"/>
        <s v="BPS 2 CT Blanket Capital (2020)"/>
        <s v="BPS 2 CT Exciters"/>
        <s v="BPS 2 DCS ABB S+ CONSOLE"/>
        <s v="BPS 2 LCI Static Starter Upgrade"/>
        <s v="BPS 2 Steam Turbine Valves Capital"/>
        <s v="BPS 2 Switchgear Relay Upgrades"/>
        <s v="BPS 3A Aero Engire Overhaul"/>
        <s v="BPS 3B Aero Engine Overhaul"/>
        <s v="BPS 4B AERO Engine Overhaul"/>
        <s v="BPS 5A Aero Engine Overhaul"/>
        <s v="BPS 5B AERO Engine Overhaul"/>
        <s v="BPS 6B Aero Engine Overhaul"/>
        <s v="BPS Admin Building Expansion"/>
        <s v="BPS Advanced Hardware Upgd"/>
        <s v="BPS Aero Catalyst Removal"/>
        <s v="BPS Aero Pin Replacements"/>
        <s v="BPS Aero Upgrades"/>
        <s v="BPS Anhydrous Ammonia Pipeline"/>
        <s v="BPS BEST Parking Solar Installation"/>
        <s v="BPS Building Civil Upgrades"/>
        <s v="BPS CEMs NOX &amp; CO Analyzers"/>
        <s v="BPS Common Blanket Capital (2020)"/>
        <s v="BPS CT 2B Generator Field Exchange"/>
        <s v="BPS CT Spare Rotor Purchase"/>
        <s v="BPS CT1 Exciters"/>
        <s v="BPS CT2 Rotor Life Extension 1"/>
        <s v="BPS DC Distribution"/>
        <s v="BPS DCS ABB S+ Console Upgrade"/>
        <s v="BPS DCS Harmony Rack Consol Upgrade"/>
        <s v="BPS Demin System Upgrades"/>
        <s v="BPS Gannon Operators Building"/>
        <s v="BPS GE Predix"/>
        <s v="BPS Hazardous Classification Upgrad"/>
        <s v="BPS Impingement Reduction ECRC"/>
        <s v="BPS Impingemet Reduction ECRC"/>
        <s v="BPS Intake Structure Refurbishment"/>
        <s v="BPS IR Windows for Switchgear"/>
        <s v="BPS Iron Filtration System Install"/>
        <s v="BPS MacDill Engines SpareParts&amp;Misc"/>
        <s v="BPS Makeup Water - Pond Water and T"/>
        <s v="BPS Non-Steam Safety Valve Replace"/>
        <s v="BPS Pond 1 Berm Sys Liner Install"/>
        <s v="BPS Pond 1 Partition Wall Replace/U"/>
        <s v="BPS Pond 2 Berm Sys Upgrade"/>
        <s v="BPS Reserve 2 Transformer Replaceme"/>
        <s v="BPS RO Membrane Replacement"/>
        <s v="BPS RO Replacement"/>
        <s v="BPS Sample Panel 1 upgrade"/>
        <s v="BPS Sample Panel 2 Upgrade"/>
        <s v="BPS Seawall &amp; ICCP Replc Project"/>
        <s v="BPS Seawall Refurbishment"/>
        <s v="BPS ST1 Auxilary Equipment"/>
        <s v="BPS ST1 Exciter Replacement"/>
        <s v="BPS ST1 HP Outage"/>
        <s v="BPS ST1 MHC to EHC Upgrade"/>
        <s v="BPS ST1 PLI Modifications Project"/>
        <s v="BPS ST2  GSU Bushing Replacem_x0009__x0009__x0009__x0009__x0009__x0009_"/>
        <s v="BPS ST2 Auxilary Equipment (2023)"/>
        <s v="BPS ST2 Exciter Replacement"/>
        <s v="BPS ST2 HP Outage"/>
        <s v="BPS ST2 Hydrogen Panel Replacement"/>
        <s v="BPS ST2 MHC to EHC Upgrades"/>
        <s v="BPS U1 Tunnel Coatng Sys Install"/>
        <s v="BPS U2 CWP Rebuild/Upgrade"/>
        <s v="BPS U2 Tunnel Coating Sys Install"/>
        <s v="BPS UF Valve Upgrade"/>
        <s v="BPS UF&amp;Cond Polisher DCS Controls M"/>
        <s v="BPS Unit 1 Drain Pot Upgrades"/>
        <s v="BPS Unit 2 CT Exhaust Duct Repairs"/>
        <s v="BPS Unit 2 Drain Pot Upgrades"/>
        <s v="BPS West Sea Wall Restoration"/>
        <s v="BPS1 Air Inlet Filters"/>
        <s v="BPS1 ST Fast Degas"/>
        <s v="BPS1A HRSG Attemperator (2022)"/>
        <s v="BPS1A LP Evap link Replacements (20"/>
        <s v="BPS1B HRSG Attemperator (2022)"/>
        <s v="BPS1B LP Evap link Replacements (20"/>
        <s v="BPS1C LP Evap link Replacements (20"/>
        <s v="BPS2 Air Inlet Filters"/>
        <s v="BPS2 CT Generator Partial Discharge"/>
        <s v="BPS2 ST Fast Degas"/>
        <s v="BPS2 Transformer Cubicle Replc"/>
        <s v="BPS2A HRSG Attemperator (2023)"/>
        <s v="BPS2A LP Evap link Replacements (20"/>
        <s v="BPS2A-2D HRSG VENTS AND DRAINS REPL"/>
        <s v="BPS2B HRSG Attemperator"/>
        <s v="BPS2B LP Evap link Replacements (20"/>
        <s v="BPS2C HRSG Attemperator (2023)"/>
        <s v="BPS2C LP Evap link Replacements (20"/>
        <s v="BPS2D HRSG Attemperator (2023)"/>
        <s v="BPS2D LP Evap link Replacements (20"/>
        <s v="BS 4 CT AERO - Improvement"/>
        <s v="CT Cutsforth Brush Upgrade BY1"/>
        <s v="CT Cutsforth Brush Upgrade BY2"/>
        <s v="ST2 Outage – LP Centerline Replacem"/>
        <s v="ST2 PLI Modification/Upgrades"/>
        <s v="Admin Building Plumbing Replacement"/>
        <s v="BB Admin Building 1st Floor Remodel"/>
        <s v="BB Aero Engine Overhaul"/>
        <s v="BB Boiler Area Elev. 9' Lighting Re"/>
        <s v="BB Coal Field PECO VFD Upgrades"/>
        <s v="BB CT6 VT4 Failure"/>
        <s v="BB PECO Cable Replacement"/>
        <s v="BB Tools / Equipment 2023"/>
        <s v="BB Tools / Equipment 2024"/>
        <s v="BB Tools/Equipment 2021"/>
        <s v="BB Tools/Equipment 2022"/>
        <s v="BB1 Indeterminate 2023"/>
        <s v="BB1 Indeterminate 2024"/>
        <s v="BB1 STG Valve Rebuild"/>
        <s v="BB1 Stranded Inv Retirement"/>
        <s v="BB2 Indeterminate 2021"/>
        <s v="BB3 Indeterminant Blanket 2020"/>
        <s v="BB3 Indeterminate 2022"/>
        <s v="BB3 Indeterminate 2023"/>
        <s v="BB3 Stranded Inventory Retirement"/>
        <s v="BB4 4A Aux SS Transformer"/>
        <s v="BB4 4A Recirc Pump Repl"/>
        <s v="BB4 4A/B FD/ID Trnsfrmr 2025 (Qty5)"/>
        <s v="BB4 4GSU Oil Processing Skid"/>
        <s v="BB4 A Mill Hot &amp; Tempering Air Duct"/>
        <s v="BB4 Alterrex Rectifier Bridge Repl"/>
        <s v="BB4 Alterrex Rewind"/>
        <s v="BB4 B Mill Hot &amp; Tempering Air Duct"/>
        <s v="BB4 Boiler Circ. Water 4D"/>
        <s v="BB4 Boiler Feed Water Monitor Syst"/>
        <s v="BB4 Boiler Lighting"/>
        <s v="BB4 Boiler Water Walls"/>
        <s v="BB4 Bottom Ash Seal Skirt"/>
        <s v="BB4 CEMS Particulate Monitor"/>
        <s v="BB4 Coal Nozzle Replacement"/>
        <s v="BB4 Coarse Mesh Screen 4B"/>
        <s v="BB4 Compressed Air Upgrades"/>
        <s v="BB4 DCS Upgrade"/>
        <s v="BB4 EH5 Replacement"/>
        <s v="BB4 Emergency Generator"/>
        <s v="BB4 FGD Common Inlet Duct"/>
        <s v="BB4 FGD D2 Quencher Recycle PumpRpl"/>
        <s v="BB4 Fire Control System"/>
        <s v="BB4 Fluid Cool Spacers"/>
        <s v="BB4 GSU Bushing Replacement"/>
        <s v="BB4 GSU Replacement"/>
        <s v="BB4 High Energy Pipe Hangers"/>
        <s v="BB4 High Energy Pipe Hangers Ph 2"/>
        <s v="BB4 Hot Air Supply Duct Expsn Joint"/>
        <s v="BB4 ID Fans Wheels &amp; Enclosure Rplm"/>
        <s v="BB4 ID FD Fan LCI Control Upgrade"/>
        <s v="BB4 ID/FD Iso Transformer"/>
        <s v="BB4 Indeterminant Blanket 2020"/>
        <s v="BB4 Indeterminate 2021"/>
        <s v="BB4 Indeterminate 2022"/>
        <s v="BB4 Indeterminate 2023"/>
        <s v="BB4 Indeterminate 2024"/>
        <s v="BB4 Indeterminate Blanket 2019"/>
        <s v="BB4 Intake Screen 4A Fine Mesh"/>
        <s v="BB4 Intake Screen B"/>
        <s v="BB4 NG Capacity Upgrade"/>
        <s v="BB4 Precip (NW Corner) Area Stl Rpl"/>
        <s v="BB4 PT Cabinet Replacement"/>
        <s v="BB4 Pulerizer Overhauls (2021-2024)"/>
        <s v="BB4 Remote Hydrogen Venting System"/>
        <s v="BB4 SCR Catalyst"/>
        <s v="BB4 SCR Expansion Joints"/>
        <s v="BB4 SH Link Piping Replacement"/>
        <s v="BB4 SH T &amp; Piping Inlet Header Repl"/>
        <s v="BB4 SOFA Duct Expansion Joint Rplcm"/>
        <s v="BB4 SST4B Cable Fault"/>
        <s v="BB4 Station Service 4B Cable Instal"/>
        <s v="BB4 Steam Cool Spacers"/>
        <s v="BB4 Steam Drum Internal Replacement"/>
        <s v="BB4 STG Bull Gear &amp; Spare Gearbox"/>
        <s v="BB4 Structural Steel East of APH4"/>
        <s v="BB4 Swell Control Valve Addition"/>
        <s v="BB4 Transformers Platform"/>
        <s v="BB4 West Turbine Roof Replacement"/>
        <s v="BB4 WW TO WIND BOX EXPNSN JOINTS A"/>
        <s v="BB4 WW TO WIND BOX EXPNSN JOINTS B"/>
        <s v="BB4 WW TO WIND BOX EXPNSN JOINTS C"/>
        <s v="BB4 WW TO WIND BOX EXPNSN JOINTS D"/>
        <s v="BBC 316(b) Study (ECRC)  BB 1&amp;2"/>
        <s v="BBC 3rd Floor Admin Build Remodel"/>
        <s v="BBC 980 Loader Refurbishment"/>
        <s v="BBC Breaker Monitoring"/>
        <s v="BBC Common Blanket"/>
        <s v="BBC DCS Common System Upgrade"/>
        <s v="BBC ECRC FGD Waste Inj."/>
        <s v="BBC Electrical Air Compressor"/>
        <s v="BBC Elevator No. 2 Replacement"/>
        <s v="BBC Environmental Sump Pumps"/>
        <s v="BBC Fire Water Line Replacement Ph2"/>
        <s v="BBC FireWater Header Repl. Md. PH1"/>
        <s v="BBC Freight Elevator Replacement"/>
        <s v="BBC Gate 50 &amp; Fencing"/>
        <s v="BBC GE Predix - Operator Rounds"/>
        <s v="BBC Indeterminant 2021"/>
        <s v="BBC Indeterminant 2022"/>
        <s v="BBC Indeterminant 2023"/>
        <s v="BBC Indeterminant Blanket 2020"/>
        <s v="BBC Indeterminate 2024"/>
        <s v="BBC Lightning Alert System"/>
        <s v="BBC Perimeter Fencing"/>
        <s v="BBC Power Cable - Critical Spare"/>
        <s v="BBC Reserve 1 Cable Install"/>
        <s v="BBC Seawall Intake Structure"/>
        <s v="BBMOD &amp; BBC Cap Spare MV Breakers"/>
        <s v="Big Bend Solar Carport Construction"/>
        <s v="Bottom Ash Pond Piping Replacement"/>
        <s v="CCR North Gypsum Stackout Drainage"/>
        <s v="CCR North Stackout Drainage 3B"/>
        <s v="CDR Coalfield Optimization"/>
        <s v="CDR Indeterminant Blanket 2020"/>
        <s v="CDR indeterminate 2021"/>
        <s v="CDR Indeterminate 2022"/>
        <s v="CDR Indeterminate 2023"/>
        <s v="CDR Indeterminate 2024"/>
        <s v="CDR J-2 Conveyor Structure Replace"/>
        <s v="CSA 5 &amp; 6"/>
        <s v="CT4 CEMS Shelter Repl"/>
        <s v="CT4 Compliance Eqmnt NESHAP"/>
        <s v="CT4 Controls Replacement"/>
        <s v="CT4 Indeterminant 2023"/>
        <s v="CT4 Indeterminant Blanket 2022"/>
        <s v="CT4 Indeterminate 2024"/>
        <s v="CT5 Breaker Monitoring"/>
        <s v="CT5 Indeterminant 2023"/>
        <s v="CT5 Indeterminant Blanket 2022"/>
        <s v="CT5 Indeterminate 2024"/>
        <s v="CT6 Breaker Monitoring"/>
        <s v="CT6 Indeterminate 2023"/>
        <s v="CT6 Indeterminate 2024"/>
        <s v="ENV CCR Close No &amp; So Econ Ash Pond"/>
        <s v="ENV SCR Expansion Joints"/>
        <s v="FGD 13KV Motor &amp; Feeder Protection"/>
        <s v="FGD A&amp;B DRUM VAT REPLACEMENT"/>
        <s v="FGD Admin Building Roof Replacement"/>
        <s v="FGD C Tower Struct Steel Phase II"/>
        <s v="FGD C1 Absorber Recycle Pump Replac"/>
        <s v="FGD C1 Quencher Pump"/>
        <s v="FGD C3 Absorber Pump"/>
        <s v="FGD D3 Absorber Pump"/>
        <s v="FGD EAST STRUCTURAL STEEL REPLACEME"/>
        <s v="FGD Indeterminant Blanket 2020"/>
        <s v="FGD Indeterminate 2021"/>
        <s v="FGD Indeterminate 2022"/>
        <s v="FGD Indeterminate 2023"/>
        <s v="FGD Indeterminate 2024"/>
        <s v="FGD Marcanoflo Structure Repl"/>
        <s v="FGD Structural Steel Integrity"/>
        <s v="FGD Waste Handling Common Pipe Rack"/>
        <s v="FGD Waste handling electric Room"/>
        <s v="FGD WEST STRUCTURAL STEEL REPLACEME"/>
        <s v="L2 Conveyor Walkway"/>
        <s v="MCS Pond Discharge to Bay"/>
        <s v="Operations Center Renovations"/>
        <s v="Screenwell Crane Replacement"/>
        <s v="Seawall Cathodic Protection"/>
        <s v="ST1 Breaker Monitoring"/>
        <s v="Unit 4 CEMS Shelter Repl"/>
        <s v="Unit 4 MCC Replacement"/>
        <s v="Unit 4 Turning Gear Replacement"/>
        <s v="PK Water Project - Owners Cost"/>
        <s v="ES-IRP Software Rplcmt"/>
        <s v="Fuels - Tools &amp; Equip - BLKT"/>
        <s v="SEEM Project"/>
        <s v="BB1 Dismantlement"/>
        <s v="BB2 Dismantlement"/>
        <s v="BB3 Dismantlement"/>
        <s v="BBC Dismantlement"/>
        <s v="BBC PE&amp;M Misc. ES-CAPT-BLKT"/>
        <s v="Capital Dashboard"/>
        <s v="ED-South Tampa Resiliency Project"/>
        <s v="Minor Renov to CM Bldg for MC Rlctn"/>
        <s v="Portfolio Optimization Tool"/>
        <s v="South Tampa Resiliency Project"/>
        <s v="CT2 &amp; 3 Liquid Fuel Check Valve Rep"/>
        <s v="CT2-3 Electrical Platforms"/>
        <s v="CT3 Air Inlet Filter Replacement"/>
        <s v="CT5 Air Inlet Filter Replacement"/>
        <s v="Ft Green Rd Iso Valve Replacement"/>
        <s v="GE MkVI HMI Upgrades"/>
        <s v="HRSG 2-5 HP Stm Drn Line Repl."/>
        <s v="HRSG Nitrogen Generators"/>
        <s v="PK 2 CC Power Block 2022 Blanket"/>
        <s v="PK 2 CC Power Block 2023 Blanket"/>
        <s v="PK 2 CC Power Block 2024 Blanket"/>
        <s v="PK 2 CC Power Block 2025 Blanket"/>
        <s v="PK 2-5 Spectrapak Replacement"/>
        <s v="PK Admin Building A Renovations"/>
        <s v="PK CC1 Aux Clg Wtr Modifications"/>
        <s v="PK CC1 Gantry Crane Replacement"/>
        <s v="PK Common 2021 Blanket"/>
        <s v="PK Common 2022 Blanket"/>
        <s v="PK Common 2023 Blanket"/>
        <s v="PK Common 2024 Blanket"/>
        <s v="PK Common 2025 Blanket"/>
        <s v="PK Common DCS Cab Pwr Supply Upg"/>
        <s v="PK Common Demin System Upgrades"/>
        <s v="PK CT/ST1 Remote H2 Purge"/>
        <s v="PK CT1 CO2 Tank Replacment"/>
        <s v="PK CT1 Gen Breaker Replacement"/>
        <s v="PK CT1 Gen Brg Fire Protection"/>
        <s v="PK CT1 Generator Rewind"/>
        <s v="PK CT1 Hot Gas Path Replacement"/>
        <s v="PK CT1 Spare Combustion Hardware"/>
        <s v="PK CT1 Spectrapak Replacement"/>
        <s v="PK CT2 Fuel Gas Heater Skid Replace"/>
        <s v="PK CT2 Generator Breaker Replacemen"/>
        <s v="PK CT2 GSU Replacement"/>
        <s v="PK CT2 Rotor Replacement"/>
        <s v="PK CT2-3 PEECC MCC Replacement"/>
        <s v="PK CT2-5 3rd Stage Bucket Purchase"/>
        <s v="PK CT2-5 Electrical Reliability"/>
        <s v="PK CT2-5 Gen Brg Fire Protection"/>
        <s v="PK CT2-5 Hot Gas Path Parts"/>
        <s v="PK CT3 Fuel Gas Heater Skid Replace"/>
        <s v="PK CT3 Generator Breaker Replacemen"/>
        <s v="PK CT4 Air Inlet Filter Replacement"/>
        <s v="PK CT4 Generator Breaker Replacemen"/>
        <s v="PK CT4-5 PEECC MCC Replacement"/>
        <s v="PK CT5 Fuel Gas Heater Transformer"/>
        <s v="PK CT5 Generator Breaker Replacemen"/>
        <s v="PK CT5 Generator Protection Upgrad"/>
        <s v="PK CTs 2-5 Inlet Filter House Coati"/>
        <s v="PK ES Computers &amp; Related Purchases"/>
        <s v="PK Fire Alarm Network Addition"/>
        <s v="PK Gasifier 2021 Blanket"/>
        <s v="PK Gasifier 2024 Blanket"/>
        <s v="PK Gasifier 2025 Blanket"/>
        <s v="PK Gasifier Flare Stack Replacement"/>
        <s v="PK Gasifier Structure Remediation"/>
        <s v="PK General Plant Abandoned Equipmen"/>
        <s v="PK HRSG 2-5 MS Block Valve Replacem"/>
        <s v="PK HRSG 2-5 NH3 Bullet Scrubber Tan"/>
        <s v="PK HRSG2-5 Low Clearance Rack"/>
        <s v="PK Inst Air Comp 1A Replacement"/>
        <s v="PK Outfall Controls Upgrade"/>
        <s v="PK RWTP 2021 Blanket"/>
        <s v="PK RWTP 2022 Blanket"/>
        <s v="PK RWTP 2023 Blanket"/>
        <s v="PK RWTP 2024 Blanket"/>
        <s v="PK RWTP 2025 Blanket"/>
        <s v="PK RWTP A RO 2-3 Membranes"/>
        <s v="PK RWTP A RO Membranes"/>
        <s v="PK RWTP B RO Stg 2-3 Membranes"/>
        <s v="PK RWTP C RO Stage 2-3 Membranes"/>
        <s v="PK RWTP RO C Stage 1 Membrane Repl"/>
        <s v="PK RWTP UF Pretreatment"/>
        <s v="PK ST1 Hydrogen Analyzer Repl"/>
        <s v="PK ST2 R/S HP Ctrl Vlv Internals"/>
        <s v="PK- Steam Turbine 2 Major Overhaul"/>
        <s v="PK Unit 1 Power Block 2021 Blanket"/>
        <s v="PK Unit 1 Power Block 2022 Blanket"/>
        <s v="PK Unit 1 Power Block 2023 Blanket"/>
        <s v="PK Unit 1 Power Block 2024 Blanket"/>
        <s v="PK Unit 1 Power Block 2025 Blanket"/>
        <s v="PK1 Analyzer Upgrades"/>
        <s v="PK1 B Air Compressor Replacement"/>
        <s v="PK1 Crane Bay &amp; Gantry Coating"/>
        <s v="Pk1 CSA Expense"/>
        <s v="PK1 CT Power Block"/>
        <s v="PK1 DCS"/>
        <s v="PK1 Decomp Furnace 1st Baffle Rplc"/>
        <s v="PK1 Decomp Furnace 1st Pass Refacto"/>
        <s v="PK1 Gasifier - Blankets"/>
        <s v="PK1 Polk Common - Blankets"/>
        <s v="PK1 RJQ Containment Area Liner Rplc"/>
        <s v="PK1 Saturator Heater"/>
        <s v="PK2 CO2 Tank Addition"/>
        <s v="PK2 CT Electrical Replacement"/>
        <s v="PK2 DCS"/>
        <s v="PK2 HRSG Bridges"/>
        <s v="PK2 HRSG Catalyst"/>
        <s v="PK2 HRSG Duct Burners"/>
        <s v="Polk 1 Flexibility Project"/>
        <s v="POLK 2 - CSA"/>
        <s v="Polk 2 CC IA Compressor Replacement"/>
        <s v="Polk 2-5 Power Block Blanket"/>
        <s v="POLK 3 - CSA"/>
        <s v="POLK 4 - CSA"/>
        <s v="POLK 5 - CSA"/>
        <s v="Polk Common Blanket"/>
        <s v="Polk DCS Virtual Host Cluster Addit"/>
        <s v="Polk Fuel Diversity Project"/>
        <s v="Polk M&amp;R West Valve Train Upgrade"/>
        <s v="Polk Main Gate Security Upgrades"/>
        <s v="POLK POWER STATION"/>
        <s v="Polk Remote Relay Monitoring and GP"/>
        <s v="POLK STATION EQUIPMENT TOOLS"/>
        <s v="RO EDI Enclosure"/>
        <s v="RWTP B RO Trn Stage 1 Membrane Repl"/>
        <s v="ST2 Alstom HMI Upgrades"/>
        <s v="Storm Ian - Pk Flare Demolition"/>
        <s v="Alafia Solar Capital Blanket"/>
        <s v="Balm Solar Capital Blanket"/>
        <s v="BB2 Solar Blanket Capital"/>
        <s v="Big Bend I Solar (BLANKET)"/>
        <s v="Bonnie Mine Modular Building"/>
        <s v="Bonnie Mine Solar"/>
        <s v="Dover Solar Capital Blanket"/>
        <s v="Durrance Solar Capital Blanket"/>
        <s v="ES Solar Operations General Capital"/>
        <s v="Grange Hall Solar"/>
        <s v="Jamison Inverter Skid Replacement"/>
        <s v="Jamison Solar Blanket Capital"/>
        <s v="Juniper Solar Capital Blanket"/>
        <s v="Lake Hancock Solar"/>
        <s v="Lake Mabel Solar Capital Blanket"/>
        <s v="Laurel Oaks Solar Blanket Capital"/>
        <s v="Lithia Solar Blanket Capital"/>
        <s v="LMR Solar Blanket"/>
        <s v="Magnolia Solar Blanket Capital"/>
        <s v="Mountain View Modular Building"/>
        <s v="Mountain View Solar Blanket Capital"/>
        <s v="Payne Creek Modular Building"/>
        <s v="Payne Creek Solar Capital"/>
        <s v="Payne Creek Water Storage Improvemt"/>
        <s v="Peace Creek Solar"/>
        <s v="Riverside Solar Capital"/>
        <s v="Solar In-House"/>
        <s v="Tracker Replacement - Gamechange"/>
        <s v="Wimauma Solar Blanket"/>
        <s v="Wimauma Solar Blanket Capital"/>
        <s v="BB Modernization - CC Common"/>
        <s v="BB Modernization - CT 5 &amp; 6"/>
        <s v="BB Modernization - ST &amp; HRSG"/>
        <s v="BB II Energy Storage Capacity"/>
        <s v="Big Bend Floating Solar"/>
        <s v="CarbonSAFE III (2711) Well Project"/>
        <s v="CEDC Blanket Capital"/>
        <s v="CEDC Supercapacitors"/>
        <s v="ED Energy Storage - Lake Mabel"/>
        <s v="ED Energy Storage Cap - Wimauma"/>
        <s v="ED Energy Storage Capacit - MacDill"/>
        <s v="ED Energy Storage Capacity - Dover"/>
        <s v="Energy Storage Capacity 15MW Dover"/>
        <s v="Energy Storage Capacity 2025 (Lake Mabel)"/>
        <s v="Energy Storage Capacity 2025 (Macdill)"/>
        <s v="Energy Storage Capacity 2025 (Wimauma)"/>
        <s v="Energy Storage Capacity 2026 (BB)"/>
        <s v="FCTC Flow Battery"/>
        <s v="FCTC Microgrid Phase 1"/>
        <s v="Lake Mabel Energy Storage Capacity"/>
        <s v="MacDill Energy Storage Capacity"/>
        <s v="Polk Environmental Compliance"/>
        <s v="Wimauma Energy Storage Capacity"/>
        <s v="CES New CTL Building"/>
        <s v="EH&amp;S Computer &amp; Related"/>
        <s v="Environmental Air Blanket Capital"/>
        <s v="Environmental FCTC Blanket Capital"/>
        <s v="Environmental General Blanket Cap"/>
        <s v="Environmental Lab Services Blanket"/>
        <s v="Environmental Lab Services BLKT"/>
        <s v="Environmental MVC Blanket Capital"/>
        <s v="Environmental MVC Misc BLKT"/>
        <s v="FCTC - Solar Zone Tables"/>
        <s v="FCTC Interactive Engagements"/>
        <s v="FCTC Project Blanket Activity"/>
        <s v="FCTC Technology-  Solar"/>
        <s v="Alafia Solar Development"/>
        <s v="BB Solar Predictive Controls SW"/>
        <s v="Big Bend II Phase 1 Solar Dev"/>
        <s v="Big Bend III Solar Development"/>
        <s v="Big Four Mine Solar Construction"/>
        <s v="Bullfrog Creek Solar Construction"/>
        <s v="Clean Energy &amp; Emerging Tech Cap"/>
        <s v="Cottonmouth Ranch Solar"/>
        <s v="Dover Solar Development"/>
        <s v="Durrance Solar Development"/>
        <s v="ED Solar - Alafia Solar"/>
        <s v="ED Solar - Big Bend II Phase 2"/>
        <s v="ED Solar - Big Bend Solar II"/>
        <s v="ED Solar - Big Four Mine Solar"/>
        <s v="ED Solar - Brewster Solar"/>
        <s v="ED Solar - Bullfrog Creek Solar"/>
        <s v="ED Solar - Cottonmouth Solar"/>
        <s v="ED Solar - Dover Solar"/>
        <s v="ED Solar - Durrance Solar"/>
        <s v="ED Solar - English Creek Solar"/>
        <s v="ED Solar - Farmland Reserve Solar"/>
        <s v="ED Solar - FFD Solar"/>
        <s v="ED Solar - Jamison"/>
        <s v="ED Solar - Juniper Solar"/>
        <s v="ED Solar - Lake Mabel Solar"/>
        <s v="ED Solar - Laurel Oaks (DelMonte HC"/>
        <s v="ED Solar - Magnolia (Del Monte PC)"/>
        <s v="ED Solar - Mountain View"/>
        <s v="ED Solar - Riverside Solar"/>
        <s v="English Creek Solar Development"/>
        <s v="Farmland Reserve Solar Construction"/>
        <s v="Farmland Solar Land Purchase"/>
        <s v="FFD Solar Construction"/>
        <s v="FFD Solar Land Purchase"/>
        <s v="Jamison Solar Development"/>
        <s v="Juniper Solar Dev"/>
        <s v="Juniper Solar Land Purchase"/>
        <s v="Lake Mabel Solar Dev"/>
        <s v="Land for Future Solar"/>
        <s v="Laurel Oaks Solar Development"/>
        <s v="Magnolia Solar Site Development"/>
        <s v="Mountain View Solar Development"/>
        <s v="Quail Meadow Solar Development"/>
        <s v="Riverside Solar Development"/>
        <s v="Small Scale Solar - Agrivoltaics"/>
        <s v="Solar Energy Center Improvements"/>
        <s v="Solar Energy Center Renovations"/>
        <s v="Solar W4 P 4 ROOD 2027"/>
        <s v="Solar W4 P1 Land Solvay 2026"/>
        <s v="Solar W4 P1 Solvay 2026"/>
        <s v="Solar W4 P2 Wimauma 3 2026"/>
        <s v="Solar W4 P3 Clear springs 2027"/>
        <s v="Solar W4 P3 Land Clear Springs 2027"/>
        <s v="Solar W4 P4 Land ROOD 2027"/>
        <s v="Solar W4 P5 Land CLR springs 2 2028"/>
        <s v="Solar W4 P6 Land Mattianiah 2028"/>
        <s v="Solar W4 P7 TBD 2028"/>
        <s v="Solar Wave 3 Solar Modules"/>
        <s v="Solar Wave 3 Trackers &amp; Inverters"/>
        <s v="SW3 (Big Four &amp; Farmland)"/>
        <s v="SW3 (Cotton Mouth &amp; FFD)"/>
        <s v="SW4  (Brewster &amp; Wimauma)"/>
        <s v="SW4 (Clear Springs &amp; ROOD) "/>
        <s v="Tampa Convention Center Rooftop"/>
        <s v="WAVE 2 Solar Panels"/>
        <s v="Wimauma Solar Land Purchase"/>
        <m u="1"/>
      </sharedItems>
    </cacheField>
    <cacheField name="Category" numFmtId="0">
      <sharedItems containsBlank="1" count="6">
        <s v="AFUDC Eligible Projects - In- Service 2025-2027 (SABRA)"/>
        <s v="Rate Base"/>
        <s v="AFUDC Eligible Project In-Service Prior to 2025"/>
        <s v="Clause"/>
        <s v="AFUDC Eligible Project - In Service after 2027"/>
        <m u="1"/>
      </sharedItems>
    </cacheField>
    <cacheField name="2022" numFmtId="0">
      <sharedItems containsString="0" containsBlank="1" containsNumber="1" minValue="-5023264.79" maxValue="46268460.630000003"/>
    </cacheField>
    <cacheField name="2023" numFmtId="0">
      <sharedItems containsString="0" containsBlank="1" containsNumber="1" minValue="-8457783.3300000001" maxValue="65554466.57"/>
    </cacheField>
    <cacheField name="2024" numFmtId="0">
      <sharedItems containsString="0" containsBlank="1" containsNumber="1" minValue="-19617262.27" maxValue="154521142.97999999"/>
    </cacheField>
    <cacheField name="2022-2024 " numFmtId="164">
      <sharedItems containsSemiMixedTypes="0" containsString="0" containsNumber="1" minValue="-5023264.79" maxValue="235075332.44"/>
    </cacheField>
    <cacheField name="2025" numFmtId="0">
      <sharedItems containsString="0" containsBlank="1" containsNumber="1" minValue="0.04" maxValue="85430904.939999998"/>
    </cacheField>
    <cacheField name="2022-2025" numFmtId="164">
      <sharedItems containsSemiMixedTypes="0" containsString="0" containsNumber="1" minValue="-5023264.79" maxValue="290834966.19999999"/>
    </cacheField>
    <cacheField name="2026-2027" numFmtId="0">
      <sharedItems containsString="0" containsBlank="1" containsNumber="1" minValue="0" maxValue="125000000"/>
    </cacheField>
    <cacheField name="Total Project" numFmtId="164">
      <sharedItems containsString="0" containsBlank="1" containsNumber="1" minValue="0" maxValue="290834966.19999999"/>
    </cacheField>
    <cacheField name="2025 In-Service" numFmtId="0">
      <sharedItems containsString="0" containsBlank="1" containsNumber="1" containsInteger="1" minValue="0" maxValue="181843665"/>
    </cacheField>
    <cacheField name="2026 SABRA" numFmtId="0">
      <sharedItems containsString="0" containsBlank="1" containsNumber="1" containsInteger="1" minValue="0" maxValue="220338006"/>
    </cacheField>
    <cacheField name="2027 SABRA" numFmtId="0">
      <sharedItems containsString="0" containsBlank="1" containsNumber="1" containsInteger="1" minValue="0" maxValue="180598343"/>
    </cacheField>
    <cacheField name="Total 2025-2027" numFmtId="0">
      <sharedItems containsBlank="1" containsMixedTypes="1" containsNumber="1" containsInteger="1" minValue="0" maxValue="357726918"/>
    </cacheField>
    <cacheField name="BUCKET" numFmtId="0">
      <sharedItems containsBlank="1" count="21">
        <s v="CORPORATE HEADQUARTERS"/>
        <s v="BEARSS OPERATIONS CENTER"/>
        <s v="OUTAGE"/>
        <s v="BLANKETS"/>
        <s v="PLANT IMPROVEMENT (NON-OUTAGE)"/>
        <s v="BUILDING RENOVATION CAPITAL"/>
        <s v="AGP UPGRADES "/>
        <s v="ECRC CLAUSE"/>
        <s v="OTHER"/>
        <s v="CETM"/>
        <s v="SOUTH TAMPA RESILIENCY"/>
        <s v="POLK 1 FLEXIBILTY"/>
        <s v="POLK FUEL DIVERSITY "/>
        <s v="SOLAR OPERATIONS"/>
        <s v="BB MODERNIZATION"/>
        <s v="FUTURE ENERGY STORAGE"/>
        <s v="AFUDC NOT IN SERVICE BY 2027"/>
        <s v="SOLAR"/>
        <s v="FUTURE SOLAR"/>
        <s v="FUTURE SOLAR LAND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uthor" refreshedDate="45362.402761226855" createdVersion="8" refreshedVersion="8" minRefreshableVersion="3" recordCount="583" xr:uid="{8AF2C8B9-72E8-4DDF-A381-138B91BF7A2E}">
  <cacheSource type="worksheet">
    <worksheetSource ref="A1:Q584" sheet="Bucket Details"/>
  </cacheSource>
  <cacheFields count="17">
    <cacheField name="Witness" numFmtId="0">
      <sharedItems count="2">
        <s v="Aldazabal"/>
        <s v="Stryker"/>
      </sharedItems>
    </cacheField>
    <cacheField name="Director" numFmtId="0">
      <sharedItems count="13">
        <s v="CSS-Corporate Support Services"/>
        <s v="ED-Grid Modernization"/>
        <s v="ES-Bayside Power Station"/>
        <s v="ES-Big Bend Station"/>
        <s v="ES-Engineer &amp; Project Management"/>
        <s v="ES-Fuels"/>
        <s v="ES-Outage &amp; Project Management"/>
        <s v="ES-Polk Power Station"/>
        <s v="ES-Solar Operations"/>
        <s v="DEC-BB Mod"/>
        <s v="DEC-Distributed Energy"/>
        <s v="DEC-Environmental"/>
        <s v="DEC-Renewables"/>
      </sharedItems>
    </cacheField>
    <cacheField name="FP Description" numFmtId="0">
      <sharedItems count="574">
        <s v="Corporate Headquarters"/>
        <s v="Bearss Operations Center"/>
        <s v="EMS Upgrade - 2023"/>
        <s v="2D Generator Field"/>
        <s v="Aero Controls Upgrade"/>
        <s v="Bayside 1 CT Blanket 2021"/>
        <s v="Bayside 1 CT Blanket 2022"/>
        <s v="Bayside 1 CT Blanket 2023"/>
        <s v="Bayside 1 CT Blanket 2024"/>
        <s v="Bayside 1 ST Blanket 2021"/>
        <s v="Bayside 1 ST Blanket 2022"/>
        <s v="Bayside 1 ST Blanket 2023"/>
        <s v="Bayside 1 ST Blanket 2024"/>
        <s v="BAYSIDE 1A CT"/>
        <s v="Bayside 2 CT Blanket (2019)"/>
        <s v="Bayside 2 CT Blanket Capital 2021"/>
        <s v="Bayside 2 CT Blanket Capital 2022"/>
        <s v="Bayside 2 CT Blanket Capital 2023"/>
        <s v="Bayside 2 CT Blanket Capital 2024"/>
        <s v="Bayside 2 ST Blanket 2021"/>
        <s v="Bayside 2 ST Blanket 2022"/>
        <s v="Bayside 2 ST Blanket 2023"/>
        <s v="Bayside 2 ST Blanket 2024"/>
        <s v="Bayside Aero 5 Blanket (2019)"/>
        <s v="Bayside Aero Blanket 2022"/>
        <s v="Bayside Aero Blanket 2023"/>
        <s v="Bayside Aero Blanket 2024"/>
        <s v="Bayside Blanket (Budget Only)"/>
        <s v="Bayside Capital Spares"/>
        <s v="Bayside Common Blanket (2019)"/>
        <s v="Bayside Common Blanket 2022"/>
        <s v="Bayside Common Blanket 2023"/>
        <s v="Bayside Common Blanket 2024"/>
        <s v="BAYSIDE CSA"/>
        <s v="Bayside FT/SE HMI Scada Upgrade Pro"/>
        <s v="BPS #1 GE HMI Upgrades"/>
        <s v="BPS #1 GE Mark VI E Controller"/>
        <s v="BPS #2 GE HMI Upgrades"/>
        <s v="BPS #2 GE Mark VI E Control Boards"/>
        <s v="BPS 1 Circ Water 66&quot; Piping Replace"/>
        <s v="BPS 1 Circ Water Discharge Piping R"/>
        <s v="BPS 1 Circulating Water Pumps"/>
        <s v="BPS 1 CT Blanket Capital (2020)"/>
        <s v="BPS 1 LCI Static Starter Upgrade"/>
        <s v="BPS 1 Partial Discharge Monitoring"/>
        <s v="BPS 1 ST Vacuum Priming"/>
        <s v="BPS 1 ST1 LP Turbine CWO"/>
        <s v="BPS 1&amp;2 Steam Plant Sample Panel"/>
        <s v="BPS 1ST Valves Rplc Project"/>
        <s v="BPS 2 Cooling Circ Water Pump"/>
        <s v="BPS 2 CT Blanket Capital (2020)"/>
        <s v="BPS 2 CT Exciters"/>
        <s v="BPS 2 DCS ABB S+ CONSOLE"/>
        <s v="BPS 2 LCI Static Starter Upgrade"/>
        <s v="BPS 2 Steam Turbine Valves Capital"/>
        <s v="BPS 2 Switchgear Relay Upgrades"/>
        <s v="BPS 3A Aero Engire Overhaul"/>
        <s v="BPS 3B Aero Engine Overhaul"/>
        <s v="BPS 4B AERO Engine Overhaul"/>
        <s v="BPS 5A Aero Engine Overhaul"/>
        <s v="BPS 5B AERO Engine Overhaul"/>
        <s v="BPS 6B Aero Engine Overhaul"/>
        <s v="BPS Admin Building Expansion"/>
        <s v="BPS Advanced Hardware Upgd"/>
        <s v="BPS Aero Catalyst Removal"/>
        <s v="BPS Aero Pin Replacements"/>
        <s v="BPS Aero Upgrades"/>
        <s v="BPS Anhydrous Ammonia Pipeline"/>
        <s v="BPS BEST Parking Solar Installation"/>
        <s v="BPS Building Civil Upgrades"/>
        <s v="BPS CEMs NOX &amp; CO Analyzers"/>
        <s v="BPS Common Blanket Capital (2020)"/>
        <s v="BPS CT 2B Generator Field Exchange"/>
        <s v="BPS CT Spare Rotor Purchase"/>
        <s v="BPS CT1 Exciters"/>
        <s v="BPS CT2 Rotor Life Extension 1"/>
        <s v="BPS DC Distribution"/>
        <s v="BPS DCS ABB S+ Console Upgrade"/>
        <s v="BPS DCS Harmony Rack Consol Upgrade"/>
        <s v="BPS Demin System Upgrades"/>
        <s v="BPS Gannon Operators Building"/>
        <s v="BPS GE Predix"/>
        <s v="BPS Hazardous Classification Upgrad"/>
        <s v="BPS Impingement Reduction ECRC"/>
        <s v="BPS Impingemet Reduction ECRC"/>
        <s v="BPS Intake Structure Refurbishment"/>
        <s v="BPS IR Windows for Switchgear"/>
        <s v="BPS Iron Filtration System Install"/>
        <s v="BPS MacDill Engines SpareParts&amp;Misc"/>
        <s v="BPS Makeup Water - Pond Water and T"/>
        <s v="BPS Non-Steam Safety Valve Replace"/>
        <s v="BPS Pond 1 Berm Sys Liner Install"/>
        <s v="BPS Pond 1 Partition Wall Replace/U"/>
        <s v="BPS Pond 2 Berm Sys Upgrade"/>
        <s v="BPS Reserve 2 Transformer Replaceme"/>
        <s v="BPS RO Membrane Replacement"/>
        <s v="BPS RO Replacement"/>
        <s v="BPS Sample Panel 1 upgrade"/>
        <s v="BPS Sample Panel 2 Upgrade"/>
        <s v="BPS Seawall &amp; ICCP Replc Project"/>
        <s v="BPS Seawall Refurbishment"/>
        <s v="BPS ST1 Auxilary Equipment"/>
        <s v="BPS ST1 Exciter Replacement"/>
        <s v="BPS ST1 HP Outage"/>
        <s v="BPS ST1 MHC to EHC Upgrade"/>
        <s v="BPS ST1 PLI Modifications Project"/>
        <s v="BPS ST2  GSU Bushing Replacem_x0009__x0009__x0009__x0009__x0009__x0009_"/>
        <s v="BPS ST2 Auxilary Equipment (2023)"/>
        <s v="BPS ST2 Exciter Replacement"/>
        <s v="BPS ST2 HP Outage"/>
        <s v="BPS ST2 Hydrogen Panel Replacement"/>
        <s v="BPS ST2 MHC to EHC Upgrades"/>
        <s v="BPS U1 Tunnel Coatng Sys Install"/>
        <s v="BPS U2 CWP Rebuild/Upgrade"/>
        <s v="BPS U2 Tunnel Coating Sys Install"/>
        <s v="BPS UF Valve Upgrade"/>
        <s v="BPS UF&amp;Cond Polisher DCS Controls M"/>
        <s v="BPS Unit 1 Drain Pot Upgrades"/>
        <s v="BPS Unit 2 CT Exhaust Duct Repairs"/>
        <s v="BPS Unit 2 Drain Pot Upgrades"/>
        <s v="BPS West Sea Wall Restoration"/>
        <s v="BPS1 Air Inlet Filters"/>
        <s v="BPS1 ST Fast Degas"/>
        <s v="BPS1A HRSG Attemperator (2022)"/>
        <s v="BPS1A LP Evap link Replacements (20"/>
        <s v="BPS1B HRSG Attemperator (2022)"/>
        <s v="BPS1B LP Evap link Replacements (20"/>
        <s v="BPS1C LP Evap link Replacements (20"/>
        <s v="BPS2 Air Inlet Filters"/>
        <s v="BPS2 CT Generator Partial Discharge"/>
        <s v="BPS2 ST Fast Degas"/>
        <s v="BPS2 Transformer Cubicle Replc"/>
        <s v="BPS2A HRSG Attemperator (2023)"/>
        <s v="BPS2A LP Evap link Replacements (20"/>
        <s v="BPS2A-2D HRSG VENTS AND DRAINS REPL"/>
        <s v="BPS2B HRSG Attemperator"/>
        <s v="BPS2B LP Evap link Replacements (20"/>
        <s v="BPS2C HRSG Attemperator (2023)"/>
        <s v="BPS2C LP Evap link Replacements (20"/>
        <s v="BPS2D HRSG Attemperator (2023)"/>
        <s v="BPS2D LP Evap link Replacements (20"/>
        <s v="BS 4 CT AERO - Improvement"/>
        <s v="CT Cutsforth Brush Upgrade BY1"/>
        <s v="CT Cutsforth Brush Upgrade BY2"/>
        <s v="ST2 Outage – LP Centerline Replacem"/>
        <s v="ST2 PLI Modification/Upgrades"/>
        <s v="Admin Building Plumbing Replacement"/>
        <s v="BB Admin Building 1st Floor Remodel"/>
        <s v="BB Aero Engine Overhaul"/>
        <s v="BB Boiler Area Elev. 9' Lighting Re"/>
        <s v="BB Coal Field PECO VFD Upgrades"/>
        <s v="BB CT6 VT4 Failure"/>
        <s v="BB PECO Cable Replacement"/>
        <s v="BB Tools / Equipment 2023"/>
        <s v="BB Tools / Equipment 2024"/>
        <s v="BB Tools/Equipment 2021"/>
        <s v="BB Tools/Equipment 2022"/>
        <s v="BB1 Indeterminate 2023"/>
        <s v="BB1 Indeterminate 2024"/>
        <s v="BB1 STG Valve Rebuild"/>
        <s v="BB1 Stranded Inv Retirement"/>
        <s v="BB2 Indeterminate 2021"/>
        <s v="BB3 Indeterminant Blanket 2020"/>
        <s v="BB3 Indeterminate 2022"/>
        <s v="BB3 Indeterminate 2023"/>
        <s v="BB3 Stranded Inventory Retirement"/>
        <s v="BB4 4A Aux SS Transformer"/>
        <s v="BB4 4A Recirc Pump Repl"/>
        <s v="BB4 4A/B FD/ID Trnsfrmr 2025 (Qty5)"/>
        <s v="BB4 4GSU Oil Processing Skid"/>
        <s v="BB4 A Mill Hot &amp; Tempering Air Duct"/>
        <s v="BB4 Alterrex Rectifier Bridge Repl"/>
        <s v="BB4 Alterrex Rewind"/>
        <s v="BB4 B Mill Hot &amp; Tempering Air Duct"/>
        <s v="BB4 Boiler Circ. Water 4D"/>
        <s v="BB4 Boiler Feed Water Monitor Syst"/>
        <s v="BB4 Boiler Lighting"/>
        <s v="BB4 Boiler Water Walls"/>
        <s v="BB4 Bottom Ash Seal Skirt"/>
        <s v="BB4 CEMS Particulate Monitor"/>
        <s v="BB4 Coal Nozzle Replacement"/>
        <s v="BB4 Coarse Mesh Screen 4B"/>
        <s v="BB4 Compressed Air Upgrades"/>
        <s v="BB4 DCS Upgrade"/>
        <s v="BB4 EH5 Replacement"/>
        <s v="BB4 Emergency Generator"/>
        <s v="BB4 FGD Common Inlet Duct"/>
        <s v="BB4 FGD D2 Quencher Recycle PumpRpl"/>
        <s v="BB4 Fire Control System"/>
        <s v="BB4 Fluid Cool Spacers"/>
        <s v="BB4 GSU Bushing Replacement"/>
        <s v="BB4 GSU Replacement"/>
        <s v="BB4 High Energy Pipe Hangers"/>
        <s v="BB4 High Energy Pipe Hangers Ph 2"/>
        <s v="BB4 Hot Air Supply Duct Expsn Joint"/>
        <s v="BB4 ID Fans Wheels &amp; Enclosure Rplm"/>
        <s v="BB4 ID FD Fan LCI Control Upgrade"/>
        <s v="BB4 ID/FD Iso Transformer"/>
        <s v="BB4 Indeterminant Blanket 2020"/>
        <s v="BB4 Indeterminate 2021"/>
        <s v="BB4 Indeterminate 2022"/>
        <s v="BB4 Indeterminate 2023"/>
        <s v="BB4 Indeterminate 2024"/>
        <s v="BB4 Indeterminate Blanket 2019"/>
        <s v="BB4 Intake Screen 4A Fine Mesh"/>
        <s v="BB4 Intake Screen B"/>
        <s v="BB4 NG Capacity Upgrade"/>
        <s v="BB4 Precip (NW Corner) Area Stl Rpl"/>
        <s v="BB4 PT Cabinet Replacement"/>
        <s v="BB4 Pulerizer Overhauls (2021-2024)"/>
        <s v="BB4 Remote Hydrogen Venting System"/>
        <s v="BB4 SCR Catalyst"/>
        <s v="BB4 SCR Expansion Joints"/>
        <s v="BB4 SH Link Piping Replacement"/>
        <s v="BB4 SH T &amp; Piping Inlet Header Repl"/>
        <s v="BB4 SOFA Duct Expansion Joint Rplcm"/>
        <s v="BB4 SST4B Cable Fault"/>
        <s v="BB4 Station Service 4B Cable Instal"/>
        <s v="BB4 Steam Cool Spacers"/>
        <s v="BB4 Steam Drum Internal Replacement"/>
        <s v="BB4 STG Bull Gear &amp; Spare Gearbox"/>
        <s v="BB4 Structural Steel East of APH4"/>
        <s v="BB4 Swell Control Valve Addition"/>
        <s v="BB4 Transformers Platform"/>
        <s v="BB4 West Turbine Roof Replacement"/>
        <s v="BB4 WW TO WIND BOX EXPNSN JOINTS A"/>
        <s v="BB4 WW TO WIND BOX EXPNSN JOINTS B"/>
        <s v="BB4 WW TO WIND BOX EXPNSN JOINTS C"/>
        <s v="BB4 WW TO WIND BOX EXPNSN JOINTS D"/>
        <s v="BBC 316(b) Study (ECRC)  BB 1&amp;2"/>
        <s v="BBC 3rd Floor Admin Build Remodel"/>
        <s v="BBC 980 Loader Refurbishment"/>
        <s v="BBC Breaker Monitoring"/>
        <s v="BBC Common Blanket"/>
        <s v="BBC DCS Common System Upgrade"/>
        <s v="BBC ECRC FGD Waste Inj."/>
        <s v="BBC Electrical Air Compressor"/>
        <s v="BBC Elevator No. 2 Replacement"/>
        <s v="BBC Environmental Sump Pumps"/>
        <s v="BBC Fire Water Line Replacement Ph2"/>
        <s v="BBC FireWater Header Repl. Md. PH1"/>
        <s v="BBC Freight Elevator Replacement"/>
        <s v="BBC Gate 50 &amp; Fencing"/>
        <s v="BBC GE Predix - Operator Rounds"/>
        <s v="BBC Indeterminant 2021"/>
        <s v="BBC Indeterminant 2022"/>
        <s v="BBC Indeterminant 2023"/>
        <s v="BBC Indeterminant Blanket 2020"/>
        <s v="BBC Indeterminate 2024"/>
        <s v="BBC Lightning Alert System"/>
        <s v="BBC Perimeter Fencing"/>
        <s v="BBC Power Cable - Critical Spare"/>
        <s v="BBC Reserve 1 Cable Install"/>
        <s v="BBC Seawall Intake Structure"/>
        <s v="BBMOD &amp; BBC Cap Spare MV Breakers"/>
        <s v="Big Bend Solar Carport Construction"/>
        <s v="Bottom Ash Pond Piping Replacement"/>
        <s v="CCR North Gypsum Stackout Drainage"/>
        <s v="CCR North Stackout Drainage 3B"/>
        <s v="CDR Coalfield Optimization"/>
        <s v="CDR Indeterminant Blanket 2020"/>
        <s v="CDR indeterminate 2021"/>
        <s v="CDR Indeterminate 2022"/>
        <s v="CDR Indeterminate 2023"/>
        <s v="CDR Indeterminate 2024"/>
        <s v="CDR J-2 Conveyor Structure Replace"/>
        <s v="CSA 5 &amp; 6"/>
        <s v="CT4 CEMS Shelter Repl"/>
        <s v="CT4 Compliance Eqmnt NESHAP"/>
        <s v="CT4 Controls Replacement"/>
        <s v="CT4 Indeterminant 2023"/>
        <s v="CT4 Indeterminant Blanket 2022"/>
        <s v="CT4 Indeterminate 2024"/>
        <s v="CT5 Breaker Monitoring"/>
        <s v="CT5 Indeterminant 2023"/>
        <s v="CT5 Indeterminant Blanket 2022"/>
        <s v="CT5 Indeterminate 2024"/>
        <s v="CT6 Breaker Monitoring"/>
        <s v="CT6 Indeterminate 2023"/>
        <s v="CT6 Indeterminate 2024"/>
        <s v="ENV CCR Close No &amp; So Econ Ash Pond"/>
        <s v="ENV SCR Expansion Joints"/>
        <s v="FGD 13KV Motor &amp; Feeder Protection"/>
        <s v="FGD A&amp;B DRUM VAT REPLACEMENT"/>
        <s v="FGD Admin Building Roof Replacement"/>
        <s v="FGD C Tower Struct Steel Phase II"/>
        <s v="FGD C1 Absorber Recycle Pump Replac"/>
        <s v="FGD C1 Quencher Pump"/>
        <s v="FGD C3 Absorber Pump"/>
        <s v="FGD D3 Absorber Pump"/>
        <s v="FGD EAST STRUCTURAL STEEL REPLACEME"/>
        <s v="FGD Indeterminant Blanket 2020"/>
        <s v="FGD Indeterminate 2021"/>
        <s v="FGD Indeterminate 2022"/>
        <s v="FGD Indeterminate 2023"/>
        <s v="FGD Indeterminate 2024"/>
        <s v="FGD Marcanoflo Structure Repl"/>
        <s v="FGD Structural Steel Integrity"/>
        <s v="FGD Waste Handling Common Pipe Rack"/>
        <s v="FGD Waste handling electric Room"/>
        <s v="FGD WEST STRUCTURAL STEEL REPLACEME"/>
        <s v="L2 Conveyor Walkway"/>
        <s v="MCS Pond Discharge to Bay"/>
        <s v="Operations Center Renovations"/>
        <s v="Screenwell Crane Replacement"/>
        <s v="Seawall Cathodic Protection"/>
        <s v="ST1 Breaker Monitoring"/>
        <s v="Unit 4 CEMS Shelter Repl"/>
        <s v="Unit 4 MCC Replacement"/>
        <s v="Unit 4 Turning Gear Replacement"/>
        <s v="PK Water Project - Owners Cost"/>
        <s v="ES-IRP Software Rplcmt"/>
        <s v="Fuels - Tools &amp; Equip - BLKT"/>
        <s v="SEEM Project"/>
        <s v="BB1 Dismantlement"/>
        <s v="BB2 Dismantlement"/>
        <s v="BB3 Dismantlement"/>
        <s v="BBC Dismantlement"/>
        <s v="BBC PE&amp;M Misc. ES-CAPT-BLKT"/>
        <s v="Capital Dashboard"/>
        <s v="ED-South Tampa Resiliency Project"/>
        <s v="Minor Renov to CM Bldg for MC Rlctn"/>
        <s v="Portfolio Optimization Tool"/>
        <s v="South Tampa Resiliency Project"/>
        <s v="CT2 &amp; 3 Liquid Fuel Check Valve Rep"/>
        <s v="CT2-3 Electrical Platforms"/>
        <s v="CT3 Air Inlet Filter Replacement"/>
        <s v="CT5 Air Inlet Filter Replacement"/>
        <s v="Ft Green Rd Iso Valve Replacement"/>
        <s v="GE MkVI HMI Upgrades"/>
        <s v="HRSG 2-5 HP Stm Drn Line Repl."/>
        <s v="HRSG Nitrogen Generators"/>
        <s v="PK 2 CC Power Block 2022 Blanket"/>
        <s v="PK 2 CC Power Block 2023 Blanket"/>
        <s v="PK 2 CC Power Block 2024 Blanket"/>
        <s v="PK 2 CC Power Block 2025 Blanket"/>
        <s v="PK 2-5 Spectrapak Replacement"/>
        <s v="PK Admin Building A Renovations"/>
        <s v="PK CC1 Aux Clg Wtr Modifications"/>
        <s v="PK CC1 Gantry Crane Replacement"/>
        <s v="PK Common 2021 Blanket"/>
        <s v="PK Common 2022 Blanket"/>
        <s v="PK Common 2023 Blanket"/>
        <s v="PK Common 2024 Blanket"/>
        <s v="PK Common 2025 Blanket"/>
        <s v="PK Common DCS Cab Pwr Supply Upg"/>
        <s v="PK Common Demin System Upgrades"/>
        <s v="PK CT/ST1 Remote H2 Purge"/>
        <s v="PK CT1 CO2 Tank Replacment"/>
        <s v="PK CT1 Gen Breaker Replacement"/>
        <s v="PK CT1 Gen Brg Fire Protection"/>
        <s v="PK CT1 Generator Rewind"/>
        <s v="PK CT1 Hot Gas Path Replacement"/>
        <s v="PK CT1 Spare Combustion Hardware"/>
        <s v="PK CT1 Spectrapak Replacement"/>
        <s v="PK CT2 Fuel Gas Heater Skid Replace"/>
        <s v="PK CT2 Generator Breaker Replacemen"/>
        <s v="PK CT2 GSU Replacement"/>
        <s v="PK CT2 Rotor Replacement"/>
        <s v="PK CT2-3 PEECC MCC Replacement"/>
        <s v="PK CT2-5 3rd Stage Bucket Purchase"/>
        <s v="PK CT2-5 Electrical Reliability"/>
        <s v="PK CT2-5 Gen Brg Fire Protection"/>
        <s v="PK CT2-5 Hot Gas Path Parts"/>
        <s v="PK CT3 Fuel Gas Heater Skid Replace"/>
        <s v="PK CT3 Generator Breaker Replacemen"/>
        <s v="PK CT4 Air Inlet Filter Replacement"/>
        <s v="PK CT4 Generator Breaker Replacemen"/>
        <s v="PK CT4-5 PEECC MCC Replacement"/>
        <s v="PK CT5 Fuel Gas Heater Transformer"/>
        <s v="PK CT5 Generator Breaker Replacemen"/>
        <s v="PK CT5 Generator Protection Upgrad"/>
        <s v="PK CTs 2-5 Inlet Filter House Coati"/>
        <s v="PK ES Computers &amp; Related Purchases"/>
        <s v="PK Fire Alarm Network Addition"/>
        <s v="PK Gasifier 2021 Blanket"/>
        <s v="PK Gasifier 2024 Blanket"/>
        <s v="PK Gasifier 2025 Blanket"/>
        <s v="PK Gasifier Flare Stack Replacement"/>
        <s v="PK Gasifier Structure Remediation"/>
        <s v="PK General Plant Abandoned Equipmen"/>
        <s v="PK HRSG 2-5 MS Block Valve Replacem"/>
        <s v="PK HRSG 2-5 NH3 Bullet Scrubber Tan"/>
        <s v="PK HRSG2-5 Low Clearance Rack"/>
        <s v="PK Inst Air Comp 1A Replacement"/>
        <s v="PK Outfall Controls Upgrade"/>
        <s v="PK RWTP 2021 Blanket"/>
        <s v="PK RWTP 2022 Blanket"/>
        <s v="PK RWTP 2023 Blanket"/>
        <s v="PK RWTP 2024 Blanket"/>
        <s v="PK RWTP 2025 Blanket"/>
        <s v="PK RWTP A RO 2-3 Membranes"/>
        <s v="PK RWTP A RO Membranes"/>
        <s v="PK RWTP B RO Stg 2-3 Membranes"/>
        <s v="PK RWTP C RO Stage 2-3 Membranes"/>
        <s v="PK RWTP RO C Stage 1 Membrane Repl"/>
        <s v="PK RWTP UF Pretreatment"/>
        <s v="PK ST1 Hydrogen Analyzer Repl"/>
        <s v="PK ST2 R/S HP Ctrl Vlv Internals"/>
        <s v="PK- Steam Turbine 2 Major Overhaul"/>
        <s v="PK Unit 1 Power Block 2021 Blanket"/>
        <s v="PK Unit 1 Power Block 2022 Blanket"/>
        <s v="PK Unit 1 Power Block 2023 Blanket"/>
        <s v="PK Unit 1 Power Block 2024 Blanket"/>
        <s v="PK Unit 1 Power Block 2025 Blanket"/>
        <s v="PK1 Analyzer Upgrades"/>
        <s v="PK1 B Air Compressor Replacement"/>
        <s v="PK1 Crane Bay &amp; Gantry Coating"/>
        <s v="Pk1 CSA Expense"/>
        <s v="PK1 CT Power Block"/>
        <s v="PK1 DCS"/>
        <s v="PK1 Decomp Furnace 1st Baffle Rplc"/>
        <s v="PK1 Decomp Furnace 1st Pass Refacto"/>
        <s v="PK1 Gasifier - Blankets"/>
        <s v="PK1 Polk Common - Blankets"/>
        <s v="PK1 RJQ Containment Area Liner Rplc"/>
        <s v="PK1 Saturator Heater"/>
        <s v="PK2 CO2 Tank Addition"/>
        <s v="PK2 CT Electrical Replacement"/>
        <s v="PK2 DCS"/>
        <s v="PK2 HRSG Bridges"/>
        <s v="PK2 HRSG Catalyst"/>
        <s v="PK2 HRSG Duct Burners"/>
        <s v="Polk 1 Flexibility Project"/>
        <s v="POLK 2 - CSA"/>
        <s v="Polk 2 CC IA Compressor Replacement"/>
        <s v="Polk 2-5 Power Block Blanket"/>
        <s v="POLK 3 - CSA"/>
        <s v="POLK 4 - CSA"/>
        <s v="POLK 5 - CSA"/>
        <s v="Polk Common Blanket"/>
        <s v="Polk DCS Virtual Host Cluster Addit"/>
        <s v="Polk Fuel Diversity Project"/>
        <s v="Polk M&amp;R West Valve Train Upgrade"/>
        <s v="Polk Main Gate Security Upgrades"/>
        <s v="POLK POWER STATION"/>
        <s v="Polk Remote Relay Monitoring and GP"/>
        <s v="POLK STATION EQUIPMENT TOOLS"/>
        <s v="RO EDI Enclosure"/>
        <s v="RWTP B RO Trn Stage 1 Membrane Repl"/>
        <s v="ST2 Alstom HMI Upgrades"/>
        <s v="Storm Ian - Pk Flare Demolition"/>
        <s v="Alafia Solar Capital Blanket"/>
        <s v="Balm Solar Capital Blanket"/>
        <s v="BB2 Solar Blanket Capital"/>
        <s v="Big Bend I Solar (BLANKET)"/>
        <s v="Bonnie Mine Modular Building"/>
        <s v="Bonnie Mine Solar"/>
        <s v="Dover Solar Capital Blanket"/>
        <s v="Durrance Solar Capital Blanket"/>
        <s v="ES Solar Operations General Capital"/>
        <s v="Grange Hall Solar"/>
        <s v="Jamison Inverter Skid Replacement"/>
        <s v="Jamison Solar Blanket Capital"/>
        <s v="Juniper Solar Capital Blanket"/>
        <s v="Lake Hancock Solar"/>
        <s v="Lake Mabel Solar Capital Blanket"/>
        <s v="Laurel Oaks Solar Blanket Capital"/>
        <s v="Lithia Solar Blanket Capital"/>
        <s v="LMR Solar Blanket"/>
        <s v="Magnolia Solar Blanket Capital"/>
        <s v="Mountain View Modular Building"/>
        <s v="Mountain View Solar Blanket Capital"/>
        <s v="Payne Creek Modular Building"/>
        <s v="Payne Creek Solar Capital"/>
        <s v="Payne Creek Water Storage Improvemt"/>
        <s v="Peace Creek Solar"/>
        <s v="Riverside Solar Capital"/>
        <s v="Solar In-House"/>
        <s v="Tracker Replacement - Gamechange"/>
        <s v="Wimauma Solar Blanket"/>
        <s v="Wimauma Solar Blanket Capital"/>
        <s v="BB Modernization - CC Common"/>
        <s v="BB Modernization - CT 5 &amp; 6"/>
        <s v="BB Modernization - ST &amp; HRSG"/>
        <s v="BB II Energy Storage Capacity"/>
        <s v="Big Bend Floating Solar"/>
        <s v="CarbonSAFE III (2711) Well Project"/>
        <s v="CEDC Blanket Capital"/>
        <s v="CEDC Supercapacitors"/>
        <s v="ED Energy Storage - Lake Mabel"/>
        <s v="ED Energy Storage Cap - Wimauma"/>
        <s v="ED Energy Storage Capacit - MacDill"/>
        <s v="ED Energy Storage Capacity - Dover"/>
        <s v="Energy Storage Capacity 15MW Dover"/>
        <s v="Energy Storage Capacity 2025 (Lake Mabel)"/>
        <s v="Energy Storage Capacity 2025 (Macdill)"/>
        <s v="Energy Storage Capacity 2025 (Wimauma)"/>
        <s v="Energy Storage Capacity 2026 (BB)"/>
        <s v="FCTC Flow Battery"/>
        <s v="FCTC Microgrid Phase 1"/>
        <s v="Lake Mabel Energy Storage Capacity"/>
        <s v="MacDill Energy Storage Capacity"/>
        <s v="Polk Environmental Compliance"/>
        <s v="Wimauma Energy Storage Capacity"/>
        <s v="CES New CTL Building"/>
        <s v="EH&amp;S Computer &amp; Related"/>
        <s v="Environmental Air Blanket Capital"/>
        <s v="Environmental FCTC Blanket Capital"/>
        <s v="Environmental General Blanket Cap"/>
        <s v="Environmental Lab Services Blanket"/>
        <s v="Environmental Lab Services BLKT"/>
        <s v="Environmental MVC Blanket Capital"/>
        <s v="Environmental MVC Misc BLKT"/>
        <s v="FCTC - Solar Zone Tables"/>
        <s v="FCTC Interactive Engagements"/>
        <s v="FCTC Project Blanket Activity"/>
        <s v="FCTC Technology-  Solar"/>
        <s v="Alafia Solar Development"/>
        <s v="BB Solar Predictive Controls SW"/>
        <s v="Big Bend II Phase 1 Solar Dev"/>
        <s v="Big Bend III Solar Development"/>
        <s v="Big Four Mine Solar Construction"/>
        <s v="Bullfrog Creek Solar Construction"/>
        <s v="Clean Energy &amp; Emerging Tech Cap"/>
        <s v="Cottonmouth Ranch Solar"/>
        <s v="Dover Solar Development"/>
        <s v="Durrance Solar Development"/>
        <s v="ED Solar - Alafia Solar"/>
        <s v="ED Solar - Big Bend II Phase 2"/>
        <s v="ED Solar - Big Bend Solar II"/>
        <s v="ED Solar - Big Four Mine Solar"/>
        <s v="ED Solar - Brewster Solar"/>
        <s v="ED Solar - Bullfrog Creek Solar"/>
        <s v="ED Solar - Cottonmouth Solar"/>
        <s v="ED Solar - Dover Solar"/>
        <s v="ED Solar - Durrance Solar"/>
        <s v="ED Solar - English Creek Solar"/>
        <s v="ED Solar - Farmland Reserve Solar"/>
        <s v="ED Solar - FFD Solar"/>
        <s v="ED Solar - Jamison"/>
        <s v="ED Solar - Juniper Solar"/>
        <s v="ED Solar - Lake Mabel Solar"/>
        <s v="ED Solar - Laurel Oaks (DelMonte HC"/>
        <s v="ED Solar - Magnolia (Del Monte PC)"/>
        <s v="ED Solar - Mountain View"/>
        <s v="ED Solar - Riverside Solar"/>
        <s v="English Creek Solar Development"/>
        <s v="Farmland Reserve Solar Construction"/>
        <s v="Farmland Solar Land Purchase"/>
        <s v="FFD Solar Construction"/>
        <s v="FFD Solar Land Purchase"/>
        <s v="Jamison Solar Development"/>
        <s v="Juniper Solar Dev"/>
        <s v="Juniper Solar Land Purchase"/>
        <s v="Lake Mabel Solar Dev"/>
        <s v="Land for Future Solar"/>
        <s v="Laurel Oaks Solar Development"/>
        <s v="Magnolia Solar Site Development"/>
        <s v="Mountain View Solar Development"/>
        <s v="Quail Meadow Solar Development"/>
        <s v="Riverside Solar Development"/>
        <s v="Small Scale Solar - Agrivoltaics"/>
        <s v="Solar Energy Center Improvements"/>
        <s v="Solar Energy Center Renovations"/>
        <s v="Solar W4 P 4 ROOD 2027"/>
        <s v="Solar W4 P1 Land Solvay 2026"/>
        <s v="Solar W4 P1 Solvay 2026"/>
        <s v="Solar W4 P2 Wimauma 3 2026"/>
        <s v="Solar W4 P3 Clear springs 2027"/>
        <s v="Solar W4 P3 Land Clear Springs 2027"/>
        <s v="Solar W4 P4 Land ROOD 2027"/>
        <s v="Solar W4 P5 Land CLR springs 2 2028"/>
        <s v="Solar W4 P6 Land Mattianiah 2028"/>
        <s v="Solar W4 P7 TBD 2028"/>
        <s v="Solar Wave 3 Solar Modules"/>
        <s v="Solar Wave 3 Trackers &amp; Inverters"/>
        <s v="SW3 (Big Four &amp; Farmland)"/>
        <s v="SW3 (Cotton Mouth &amp; FFD)"/>
        <s v="SW4  (Brewster &amp; Wimauma)"/>
        <s v="SW4 (Clear Springs &amp; ROOD) "/>
        <s v="Tampa Convention Center Rooftop"/>
        <s v="WAVE 2 Solar Panels"/>
        <s v="Wimauma Solar Land Purchase"/>
      </sharedItems>
    </cacheField>
    <cacheField name="Category" numFmtId="0">
      <sharedItems count="5">
        <s v="AFUDC Eligible Projects - In- Service 2025-2027 (SABRA)"/>
        <s v="Rate Base"/>
        <s v="AFUDC Eligible Project In-Service Prior to 2025"/>
        <s v="Clause"/>
        <s v="AFUDC Eligible Project - In Service after 2027"/>
      </sharedItems>
    </cacheField>
    <cacheField name="2022" numFmtId="0">
      <sharedItems containsString="0" containsBlank="1" containsNumber="1" minValue="-5023264.79" maxValue="46268460.630000003"/>
    </cacheField>
    <cacheField name="2023" numFmtId="0">
      <sharedItems containsString="0" containsBlank="1" containsNumber="1" minValue="-8457783.3300000001" maxValue="65554466.57"/>
    </cacheField>
    <cacheField name="2024" numFmtId="0">
      <sharedItems containsString="0" containsBlank="1" containsNumber="1" minValue="-19617262.27" maxValue="154521142.97999999"/>
    </cacheField>
    <cacheField name="2022-2024 " numFmtId="0">
      <sharedItems containsString="0" containsBlank="1" containsNumber="1" minValue="-5023264.79" maxValue="235075332.44"/>
    </cacheField>
    <cacheField name="2025" numFmtId="0">
      <sharedItems containsString="0" containsBlank="1" containsNumber="1" minValue="0.04" maxValue="85430904.939999998"/>
    </cacheField>
    <cacheField name="2022-2025" numFmtId="0">
      <sharedItems containsString="0" containsBlank="1" containsNumber="1" minValue="-5023264.79" maxValue="290834966.19999999"/>
    </cacheField>
    <cacheField name="2026-2027" numFmtId="0">
      <sharedItems containsString="0" containsBlank="1" containsNumber="1" minValue="0" maxValue="125000000"/>
    </cacheField>
    <cacheField name="Total Project" numFmtId="0">
      <sharedItems containsString="0" containsBlank="1" containsNumber="1" minValue="-389445.65000000014" maxValue="290834966.19999999"/>
    </cacheField>
    <cacheField name="2025 In-Service" numFmtId="0">
      <sharedItems containsString="0" containsBlank="1" containsNumber="1" containsInteger="1" minValue="0" maxValue="181843665"/>
    </cacheField>
    <cacheField name="2026 SABRA" numFmtId="0">
      <sharedItems containsString="0" containsBlank="1" containsNumber="1" containsInteger="1" minValue="0" maxValue="220338006"/>
    </cacheField>
    <cacheField name="2027 SABRA" numFmtId="0">
      <sharedItems containsString="0" containsBlank="1" containsNumber="1" containsInteger="1" minValue="0" maxValue="180598343"/>
    </cacheField>
    <cacheField name="Total 2025-2027" numFmtId="0">
      <sharedItems containsBlank="1" containsMixedTypes="1" containsNumber="1" containsInteger="1" minValue="0" maxValue="357726918"/>
    </cacheField>
    <cacheField name="BUCKET" numFmtId="0">
      <sharedItems containsBlank="1" count="21">
        <s v="CORPORATE HEADQUARTERS"/>
        <s v="BEARSS OPERATIONS CENTER"/>
        <s v="OUTAGE"/>
        <s v="BLANKETS"/>
        <s v="PLANT IMPROVEMENT (NON-OUTAGE)"/>
        <s v="BUILDING RENOVATION CAPITAL"/>
        <s v="AGP UPGRADES "/>
        <s v="ECRC CLAUSE"/>
        <s v="OTHER"/>
        <s v="CETM"/>
        <s v="SOUTH TAMPA RESILIENCY"/>
        <s v="POLK 1 FLEXIBILTY"/>
        <s v="POLK FUEL DIVERSITY "/>
        <s v="SOLAR OPERATIONS"/>
        <s v="BB MODERNIZATION"/>
        <s v="FUTURE ENERGY STORAGE"/>
        <s v="AFUDC NOT IN SERVICE BY 2027"/>
        <s v="SOLAR"/>
        <s v="FUTURE SOLAR"/>
        <s v="FUTURE SOLAR LAND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uthor" refreshedDate="45362.550508796296" createdVersion="8" refreshedVersion="8" minRefreshableVersion="3" recordCount="586" xr:uid="{4A2616CD-0C8F-4944-B9D1-226603734E69}">
  <cacheSource type="worksheet">
    <worksheetSource ref="A1:Q587" sheet="Bucket Details"/>
  </cacheSource>
  <cacheFields count="17">
    <cacheField name="Witness" numFmtId="0">
      <sharedItems containsBlank="1" count="3">
        <s v="Aldazabal"/>
        <s v="Stryker"/>
        <m/>
      </sharedItems>
    </cacheField>
    <cacheField name="Director" numFmtId="0">
      <sharedItems count="13">
        <s v="CSS-Corporate Support Services"/>
        <s v="ED-Grid Modernization"/>
        <s v="ES-Bayside Power Station"/>
        <s v="ES-Big Bend Station"/>
        <s v="ES-Engineer &amp; Project Management"/>
        <s v="ES-Fuels"/>
        <s v="ES-Outage &amp; Project Management"/>
        <s v="ES-Polk Power Station"/>
        <s v="ES-Solar Operations"/>
        <s v="DEC-BB Mod"/>
        <s v="DEC-Distributed Energy"/>
        <s v="DEC-Environmental"/>
        <s v="DEC-Renewables"/>
      </sharedItems>
    </cacheField>
    <cacheField name="FP Description" numFmtId="0">
      <sharedItems count="577">
        <s v="Corporate Headquarters"/>
        <s v="Bearss Operations Center"/>
        <s v="EMS Upgrade - 2023"/>
        <s v="2D Generator Field"/>
        <s v="Aero Controls Upgrade"/>
        <s v="Bayside 1 CT Blanket 2021"/>
        <s v="Bayside 1 CT Blanket 2022"/>
        <s v="Bayside 1 CT Blanket 2023"/>
        <s v="Bayside 1 CT Blanket 2024"/>
        <s v="Bayside 1 ST Blanket 2021"/>
        <s v="Bayside 1 ST Blanket 2022"/>
        <s v="Bayside 1 ST Blanket 2023"/>
        <s v="Bayside 1 ST Blanket 2024"/>
        <s v="BAYSIDE 1A CT"/>
        <s v="Bayside 2 CT Blanket (2019)"/>
        <s v="Bayside 2 CT Blanket Capital 2021"/>
        <s v="Bayside 2 CT Blanket Capital 2022"/>
        <s v="Bayside 2 CT Blanket Capital 2023"/>
        <s v="Bayside 2 CT Blanket Capital 2024"/>
        <s v="Bayside 2 ST Blanket 2021"/>
        <s v="Bayside 2 ST Blanket 2022"/>
        <s v="Bayside 2 ST Blanket 2023"/>
        <s v="Bayside 2 ST Blanket 2024"/>
        <s v="Bayside Aero 5 Blanket (2019)"/>
        <s v="Bayside Aero Blanket 2022"/>
        <s v="Bayside Aero Blanket 2023"/>
        <s v="Bayside Aero Blanket 2024"/>
        <s v="Bayside Blanket (Budget Only)"/>
        <s v="Bayside Capital Spares"/>
        <s v="Bayside Common Blanket (2019)"/>
        <s v="Bayside Common Blanket 2022"/>
        <s v="Bayside Common Blanket 2023"/>
        <s v="Bayside Common Blanket 2024"/>
        <s v="BAYSIDE CSA"/>
        <s v="Bayside FT/SE HMI Scada Upgrade Pro"/>
        <s v="BPS #1 GE HMI Upgrades"/>
        <s v="BPS #1 GE Mark VI E Controller"/>
        <s v="BPS #2 GE HMI Upgrades"/>
        <s v="BPS #2 GE Mark VI E Control Boards"/>
        <s v="BPS 1 Circ Water 66&quot; Piping Replace"/>
        <s v="BPS 1 Circ Water Discharge Piping R"/>
        <s v="BPS 1 Circulating Water Pumps"/>
        <s v="BPS 1 CT Blanket Capital (2020)"/>
        <s v="BPS 1 LCI Static Starter Upgrade"/>
        <s v="BPS 1 Partial Discharge Monitoring"/>
        <s v="BPS 1 ST Vacuum Priming"/>
        <s v="BPS 1 ST1 LP Turbine CWO"/>
        <s v="BPS 1&amp;2 Steam Plant Sample Panel"/>
        <s v="BPS 1ST Valves Rplc Project"/>
        <s v="BPS 2 Cooling Circ Water Pump"/>
        <s v="BPS 2 CT Blanket Capital (2020)"/>
        <s v="BPS 2 CT Exciters"/>
        <s v="BPS 2 DCS ABB S+ CONSOLE"/>
        <s v="BPS 2 LCI Static Starter Upgrade"/>
        <s v="BPS 2 Steam Turbine Valves Capital"/>
        <s v="BPS 2 Switchgear Relay Upgrades"/>
        <s v="BPS 3A Aero Engire Overhaul"/>
        <s v="BPS 3B Aero Engine Overhaul"/>
        <s v="BPS 4B AERO Engine Overhaul"/>
        <s v="BPS 5A Aero Engine Overhaul"/>
        <s v="BPS 5B AERO Engine Overhaul"/>
        <s v="BPS 6B Aero Engine Overhaul"/>
        <s v="BPS Admin Building Expansion"/>
        <s v="BPS Advanced Hardware Upgd"/>
        <s v="BPS Aero Catalyst Removal"/>
        <s v="BPS Aero Pin Replacements"/>
        <s v="BPS Aero Upgrades"/>
        <s v="BPS Anhydrous Ammonia Pipeline"/>
        <s v="BPS BEST Parking Solar Installation"/>
        <s v="BPS Building Civil Upgrades"/>
        <s v="BPS CEMs NOX &amp; CO Analyzers"/>
        <s v="BPS Common Blanket Capital (2020)"/>
        <s v="BPS CT 2B Generator Field Exchange"/>
        <s v="BPS CT Spare Rotor Purchase"/>
        <s v="BPS CT1 Exciters"/>
        <s v="BPS CT2 Rotor Life Extension 1"/>
        <s v="BPS DC Distribution"/>
        <s v="BPS DCS ABB S+ Console Upgrade"/>
        <s v="BPS DCS Harmony Rack Consol Upgrade"/>
        <s v="BPS Demin System Upgrades"/>
        <s v="BPS Gannon Operators Building"/>
        <s v="BPS GE Predix"/>
        <s v="BPS Hazardous Classification Upgrad"/>
        <s v="BPS Impingement Reduction ECRC"/>
        <s v="BPS Impingemet Reduction ECRC"/>
        <s v="BPS Intake Structure Refurbishment"/>
        <s v="BPS IR Windows for Switchgear"/>
        <s v="BPS Iron Filtration System Install"/>
        <s v="BPS MacDill Engines SpareParts&amp;Misc"/>
        <s v="BPS Makeup Water - Pond Water and T"/>
        <s v="BPS Non-Steam Safety Valve Replace"/>
        <s v="BPS Pond 1 Berm Sys Liner Install"/>
        <s v="BPS Pond 1 Partition Wall Replace/U"/>
        <s v="BPS Pond 2 Berm Sys Upgrade"/>
        <s v="BPS Reserve 2 Transformer Replaceme"/>
        <s v="BPS RO Membrane Replacement"/>
        <s v="BPS RO Replacement"/>
        <s v="BPS Sample Panel 1 upgrade"/>
        <s v="BPS Sample Panel 2 Upgrade"/>
        <s v="BPS Seawall &amp; ICCP Replc Project"/>
        <s v="BPS Seawall Refurbishment"/>
        <s v="BPS ST1 Auxilary Equipment"/>
        <s v="BPS ST1 Exciter Replacement"/>
        <s v="BPS ST1 HP Outage"/>
        <s v="BPS ST1 MHC to EHC Upgrade"/>
        <s v="BPS ST1 PLI Modifications Project"/>
        <s v="BPS ST2  GSU Bushing Replacem_x0009__x0009__x0009__x0009__x0009__x0009_"/>
        <s v="BPS ST2 Auxilary Equipment (2023)"/>
        <s v="BPS ST2 Exciter Replacement"/>
        <s v="BPS ST2 HP Outage"/>
        <s v="BPS ST2 Hydrogen Panel Replacement"/>
        <s v="BPS ST2 MHC to EHC Upgrades"/>
        <s v="BPS U1 Tunnel Coatng Sys Install"/>
        <s v="BPS U2 CWP Rebuild/Upgrade"/>
        <s v="BPS U2 Tunnel Coating Sys Install"/>
        <s v="BPS UF Valve Upgrade"/>
        <s v="BPS UF&amp;Cond Polisher DCS Controls M"/>
        <s v="BPS Unit 1 Drain Pot Upgrades"/>
        <s v="BPS Unit 2 CT Exhaust Duct Repairs"/>
        <s v="BPS Unit 2 Drain Pot Upgrades"/>
        <s v="BPS West Sea Wall Restoration"/>
        <s v="BPS1 Air Inlet Filters"/>
        <s v="BPS1 ST Fast Degas"/>
        <s v="BPS1A HRSG Attemperator (2022)"/>
        <s v="BPS1A LP Evap link Replacements (20"/>
        <s v="BPS1B HRSG Attemperator (2022)"/>
        <s v="BPS1B LP Evap link Replacements (20"/>
        <s v="BPS1C LP Evap link Replacements (20"/>
        <s v="BPS2 Air Inlet Filters"/>
        <s v="BPS2 CT Generator Partial Discharge"/>
        <s v="BPS2 ST Fast Degas"/>
        <s v="BPS2 Transformer Cubicle Replc"/>
        <s v="BPS2A HRSG Attemperator (2023)"/>
        <s v="BPS2A LP Evap link Replacements (20"/>
        <s v="BPS2A-2D HRSG VENTS AND DRAINS REPL"/>
        <s v="BPS2B HRSG Attemperator"/>
        <s v="BPS2B LP Evap link Replacements (20"/>
        <s v="BPS2C HRSG Attemperator (2023)"/>
        <s v="BPS2C LP Evap link Replacements (20"/>
        <s v="BPS2D HRSG Attemperator (2023)"/>
        <s v="BPS2D LP Evap link Replacements (20"/>
        <s v="BS 4 CT AERO - Improvement"/>
        <s v="CT Cutsforth Brush Upgrade BY1"/>
        <s v="CT Cutsforth Brush Upgrade BY2"/>
        <s v="ST2 Outage – LP Centerline Replacem"/>
        <s v="ST2 PLI Modification/Upgrades"/>
        <s v="Admin Building Plumbing Replacement"/>
        <s v="BB Admin Building 1st Floor Remodel"/>
        <s v="BB Aero Engine Overhaul"/>
        <s v="BB Boiler Area Elev. 9' Lighting Re"/>
        <s v="BB Coal Field PECO VFD Upgrades"/>
        <s v="BB CT6 VT4 Failure"/>
        <s v="BB PECO Cable Replacement"/>
        <s v="BB Tools / Equipment 2023"/>
        <s v="BB Tools / Equipment 2024"/>
        <s v="BB Tools/Equipment 2021"/>
        <s v="BB Tools/Equipment 2022"/>
        <s v="BB1 Indeterminate 2023"/>
        <s v="BB1 Indeterminate 2024"/>
        <s v="BB1 STG Valve Rebuild"/>
        <s v="BB1 Stranded Inv Retirement"/>
        <s v="BB2 Indeterminate 2021"/>
        <s v="BB3 Indeterminant Blanket 2020"/>
        <s v="BB3 Indeterminate 2022"/>
        <s v="BB3 Indeterminate 2023"/>
        <s v="BB3 Stranded Inventory Retirement"/>
        <s v="BB4 4A Aux SS Transformer"/>
        <s v="BB4 4A Recirc Pump Repl"/>
        <s v="BB4 4A/B FD/ID Trnsfrmr 2025 (Qty5)"/>
        <s v="BB4 4GSU Oil Processing Skid"/>
        <s v="BB4 A Mill Hot &amp; Tempering Air Duct"/>
        <s v="BB4 Alterrex Rectifier Bridge Repl"/>
        <s v="BB4 Alterrex Rewind"/>
        <s v="BB4 B Mill Hot &amp; Tempering Air Duct"/>
        <s v="BB4 Boiler Circ. Water 4D"/>
        <s v="BB4 Boiler Feed Water Monitor Syst"/>
        <s v="BB4 Boiler Lighting"/>
        <s v="BB4 Boiler Water Walls"/>
        <s v="BB4 Bottom Ash Seal Skirt"/>
        <s v="BB4 CEMS Particulate Monitor"/>
        <s v="BB4 Coal Nozzle Replacement"/>
        <s v="BB4 Coarse Mesh Screen 4B"/>
        <s v="BB4 Compressed Air Upgrades"/>
        <s v="BB4 DCS Upgrade"/>
        <s v="BB4 EH5 Replacement"/>
        <s v="BB4 Emergency Generator"/>
        <s v="BB4 FGD Common Inlet Duct"/>
        <s v="BB4 FGD D2 Quencher Recycle PumpRpl"/>
        <s v="BB4 Fire Control System"/>
        <s v="BB4 Fluid Cool Spacers"/>
        <s v="BB4 GSU Bushing Replacement"/>
        <s v="BB4 GSU Replacement"/>
        <s v="BB4 High Energy Pipe Hangers"/>
        <s v="BB4 High Energy Pipe Hangers Ph 2"/>
        <s v="BB4 Hot Air Supply Duct Expsn Joint"/>
        <s v="BB4 ID Fans Wheels &amp; Enclosure Rplm"/>
        <s v="BB4 ID FD Fan LCI Control Upgrade"/>
        <s v="BB4 ID/FD Iso Transformer"/>
        <s v="BB4 Indeterminant Blanket 2020"/>
        <s v="BB4 Indeterminate 2021"/>
        <s v="BB4 Indeterminate 2022"/>
        <s v="BB4 Indeterminate 2023"/>
        <s v="BB4 Indeterminate 2024"/>
        <s v="BB4 Indeterminate Blanket 2019"/>
        <s v="BB4 Intake Screen 4A Fine Mesh"/>
        <s v="BB4 Intake Screen B"/>
        <s v="BB4 NG Capacity Upgrade"/>
        <s v="BB4 Precip (NW Corner) Area Stl Rpl"/>
        <s v="BB4 PT Cabinet Replacement"/>
        <s v="BB4 Pulerizer Overhauls (2021-2024)"/>
        <s v="BB4 Remote Hydrogen Venting System"/>
        <s v="BB4 SCR Catalyst"/>
        <s v="BB4 SCR Expansion Joints"/>
        <s v="BB4 SH Link Piping Replacement"/>
        <s v="BB4 SH T &amp; Piping Inlet Header Repl"/>
        <s v="BB4 SOFA Duct Expansion Joint Rplcm"/>
        <s v="BB4 SST4B Cable Fault"/>
        <s v="BB4 Station Service 4B Cable Instal"/>
        <s v="BB4 Steam Cool Spacers"/>
        <s v="BB4 Steam Drum Internal Replacement"/>
        <s v="BB4 STG Bull Gear &amp; Spare Gearbox"/>
        <s v="BB4 Structural Steel East of APH4"/>
        <s v="BB4 Swell Control Valve Addition"/>
        <s v="BB4 Transformers Platform"/>
        <s v="BB4 West Turbine Roof Replacement"/>
        <s v="BB4 WW TO WIND BOX EXPNSN JOINTS A"/>
        <s v="BB4 WW TO WIND BOX EXPNSN JOINTS B"/>
        <s v="BB4 WW TO WIND BOX EXPNSN JOINTS C"/>
        <s v="BB4 WW TO WIND BOX EXPNSN JOINTS D"/>
        <s v="BBC 316(b) Study (ECRC)  BB 1&amp;2"/>
        <s v="BBC 3rd Floor Admin Build Remodel"/>
        <s v="BBC 980 Loader Refurbishment"/>
        <s v="BBC Breaker Monitoring"/>
        <s v="BBC Common Blanket"/>
        <s v="BBC DCS Common System Upgrade"/>
        <s v="BBC ECRC FGD Waste Inj."/>
        <s v="BBC Electrical Air Compressor"/>
        <s v="BBC Elevator No. 2 Replacement"/>
        <s v="BBC Environmental Sump Pumps"/>
        <s v="BBC Fire Water Line Replacement Ph2"/>
        <s v="BBC FireWater Header Repl. Md. PH1"/>
        <s v="BBC Freight Elevator Replacement"/>
        <s v="BBC Gate 50 &amp; Fencing"/>
        <s v="BBC GE Predix - Operator Rounds"/>
        <s v="BBC Indeterminant 2021"/>
        <s v="BBC Indeterminant 2022"/>
        <s v="BBC Indeterminant 2023"/>
        <s v="BBC Indeterminant Blanket 2020"/>
        <s v="BBC Indeterminate 2024"/>
        <s v="BBC Lightning Alert System"/>
        <s v="BBC Perimeter Fencing"/>
        <s v="BBC Power Cable - Critical Spare"/>
        <s v="BBC Reserve 1 Cable Install"/>
        <s v="BBC Seawall Intake Structure"/>
        <s v="BBMOD &amp; BBC Cap Spare MV Breakers"/>
        <s v="Big Bend Solar Carport Construction"/>
        <s v="Bottom Ash Pond Piping Replacement"/>
        <s v="CCR North Gypsum Stackout Drainage"/>
        <s v="CCR North Stackout Drainage 3B"/>
        <s v="CDR Coalfield Optimization"/>
        <s v="CDR Indeterminant Blanket 2020"/>
        <s v="CDR indeterminate 2021"/>
        <s v="CDR Indeterminate 2022"/>
        <s v="CDR Indeterminate 2023"/>
        <s v="CDR Indeterminate 2024"/>
        <s v="CDR J-2 Conveyor Structure Replace"/>
        <s v="CSA 5 &amp; 6"/>
        <s v="CT4 CEMS Shelter Repl"/>
        <s v="CT4 Compliance Eqmnt NESHAP"/>
        <s v="CT4 Controls Replacement"/>
        <s v="CT4 Indeterminant 2023"/>
        <s v="CT4 Indeterminant Blanket 2022"/>
        <s v="CT4 Indeterminate 2024"/>
        <s v="CT5 Breaker Monitoring"/>
        <s v="CT5 Indeterminant 2023"/>
        <s v="CT5 Indeterminant Blanket 2022"/>
        <s v="CT5 Indeterminate 2024"/>
        <s v="CT6 Breaker Monitoring"/>
        <s v="CT6 Indeterminate 2023"/>
        <s v="CT6 Indeterminate 2024"/>
        <s v="ENV CCR Close No &amp; So Econ Ash Pond"/>
        <s v="ENV SCR Expansion Joints"/>
        <s v="FGD 13KV Motor &amp; Feeder Protection"/>
        <s v="FGD A&amp;B DRUM VAT REPLACEMENT"/>
        <s v="FGD Admin Building Roof Replacement"/>
        <s v="FGD C Tower Struct Steel Phase II"/>
        <s v="FGD C1 Absorber Recycle Pump Replac"/>
        <s v="FGD C1 Quencher Pump"/>
        <s v="FGD C3 Absorber Pump"/>
        <s v="FGD D3 Absorber Pump"/>
        <s v="FGD EAST STRUCTURAL STEEL REPLACEME"/>
        <s v="FGD Indeterminant Blanket 2020"/>
        <s v="FGD Indeterminate 2021"/>
        <s v="FGD Indeterminate 2022"/>
        <s v="FGD Indeterminate 2023"/>
        <s v="FGD Indeterminate 2024"/>
        <s v="FGD Marcanoflo Structure Repl"/>
        <s v="FGD Structural Steel Integrity"/>
        <s v="FGD Waste Handling Common Pipe Rack"/>
        <s v="FGD Waste handling electric Room"/>
        <s v="FGD WEST STRUCTURAL STEEL REPLACEME"/>
        <s v="L2 Conveyor Walkway"/>
        <s v="MCS Pond Discharge to Bay"/>
        <s v="Operations Center Renovations"/>
        <s v="Screenwell Crane Replacement"/>
        <s v="Seawall Cathodic Protection"/>
        <s v="ST1 Breaker Monitoring"/>
        <s v="Unit 4 CEMS Shelter Repl"/>
        <s v="Unit 4 MCC Replacement"/>
        <s v="Unit 4 Turning Gear Replacement"/>
        <s v="PK Water Project - Owners Cost"/>
        <s v="ES-IRP Software Rplcmt"/>
        <s v="Fuels - Tools &amp; Equip - BLKT"/>
        <s v="SEEM Project"/>
        <s v="BB1 Dismantlement"/>
        <s v="BB2 Dismantlement"/>
        <s v="BB3 Dismantlement"/>
        <s v="BBC Dismantlement"/>
        <s v="BBC PE&amp;M Misc. ES-CAPT-BLKT"/>
        <s v="Capital Dashboard"/>
        <s v="ED-South Tampa Resiliency Project"/>
        <s v="Minor Renov to CM Bldg for MC Rlctn"/>
        <s v="Portfolio Optimization Tool"/>
        <s v="South Tampa Resiliency Project"/>
        <s v="CT2 &amp; 3 Liquid Fuel Check Valve Rep"/>
        <s v="CT2-3 Electrical Platforms"/>
        <s v="CT3 Air Inlet Filter Replacement"/>
        <s v="CT5 Air Inlet Filter Replacement"/>
        <s v="Ft Green Rd Iso Valve Replacement"/>
        <s v="GE MkVI HMI Upgrades"/>
        <s v="HRSG 2-5 HP Stm Drn Line Repl."/>
        <s v="HRSG Nitrogen Generators"/>
        <s v="PK 2 CC Power Block 2022 Blanket"/>
        <s v="PK 2 CC Power Block 2023 Blanket"/>
        <s v="PK 2 CC Power Block 2024 Blanket"/>
        <s v="PK 2 CC Power Block 2025 Blanket"/>
        <s v="PK 2-5 Spectrapak Replacement"/>
        <s v="PK Admin Building A Renovations"/>
        <s v="PK CC1 Aux Clg Wtr Modifications"/>
        <s v="PK CC1 Gantry Crane Replacement"/>
        <s v="PK Common 2021 Blanket"/>
        <s v="PK Common 2022 Blanket"/>
        <s v="PK Common 2023 Blanket"/>
        <s v="PK Common 2024 Blanket"/>
        <s v="PK Common 2025 Blanket"/>
        <s v="PK Common DCS Cab Pwr Supply Upg"/>
        <s v="PK Common Demin System Upgrades"/>
        <s v="PK CT/ST1 Remote H2 Purge"/>
        <s v="PK CT1 CO2 Tank Replacment"/>
        <s v="PK CT1 Gen Breaker Replacement"/>
        <s v="PK CT1 Gen Brg Fire Protection"/>
        <s v="PK CT1 Generator Rewind"/>
        <s v="PK CT1 Hot Gas Path Replacement"/>
        <s v="PK CT1 Spare Combustion Hardware"/>
        <s v="PK CT1 Spectrapak Replacement"/>
        <s v="PK CT2 Fuel Gas Heater Skid Replace"/>
        <s v="PK CT2 Generator Breaker Replacemen"/>
        <s v="PK CT2 GSU Replacement"/>
        <s v="PK CT2 Rotor Replacement"/>
        <s v="PK CT2-3 PEECC MCC Replacement"/>
        <s v="PK CT2-5 3rd Stage Bucket Purchase"/>
        <s v="PK CT2-5 Electrical Reliability"/>
        <s v="PK CT2-5 Gen Brg Fire Protection"/>
        <s v="PK CT2-5 Hot Gas Path Parts"/>
        <s v="PK CT3 Fuel Gas Heater Skid Replace"/>
        <s v="PK CT3 Generator Breaker Replacemen"/>
        <s v="PK CT4 Air Inlet Filter Replacement"/>
        <s v="PK CT4 Generator Breaker Replacemen"/>
        <s v="PK CT4-5 PEECC MCC Replacement"/>
        <s v="PK CT5 Fuel Gas Heater Transformer"/>
        <s v="PK CT5 Generator Breaker Replacemen"/>
        <s v="PK CT5 Generator Protection Upgrad"/>
        <s v="PK CTs 2-5 Inlet Filter House Coati"/>
        <s v="PK ES Computers &amp; Related Purchases"/>
        <s v="PK Fire Alarm Network Addition"/>
        <s v="PK Gasifier 2021 Blanket"/>
        <s v="PK Gasifier 2024 Blanket"/>
        <s v="PK Gasifier 2025 Blanket"/>
        <s v="PK Gasifier Flare Stack Replacement"/>
        <s v="PK Gasifier Structure Remediation"/>
        <s v="PK General Plant Abandoned Equipmen"/>
        <s v="PK HRSG 2-5 MS Block Valve Replacem"/>
        <s v="PK HRSG 2-5 NH3 Bullet Scrubber Tan"/>
        <s v="PK HRSG2-5 Low Clearance Rack"/>
        <s v="PK Inst Air Comp 1A Replacement"/>
        <s v="PK Outfall Controls Upgrade"/>
        <s v="PK RWTP 2021 Blanket"/>
        <s v="PK RWTP 2022 Blanket"/>
        <s v="PK RWTP 2023 Blanket"/>
        <s v="PK RWTP 2024 Blanket"/>
        <s v="PK RWTP 2025 Blanket"/>
        <s v="PK RWTP A RO 2-3 Membranes"/>
        <s v="PK RWTP A RO Membranes"/>
        <s v="PK RWTP B RO Stg 2-3 Membranes"/>
        <s v="PK RWTP C RO Stage 2-3 Membranes"/>
        <s v="PK RWTP RO C Stage 1 Membrane Repl"/>
        <s v="PK RWTP UF Pretreatment"/>
        <s v="PK ST1 Hydrogen Analyzer Repl"/>
        <s v="PK ST2 R/S HP Ctrl Vlv Internals"/>
        <s v="PK- Steam Turbine 2 Major Overhaul"/>
        <s v="PK Unit 1 Power Block 2021 Blanket"/>
        <s v="PK Unit 1 Power Block 2022 Blanket"/>
        <s v="PK Unit 1 Power Block 2023 Blanket"/>
        <s v="PK Unit 1 Power Block 2024 Blanket"/>
        <s v="PK Unit 1 Power Block 2025 Blanket"/>
        <s v="PK1 Analyzer Upgrades"/>
        <s v="PK1 B Air Compressor Replacement"/>
        <s v="PK1 Crane Bay &amp; Gantry Coating"/>
        <s v="Pk1 CSA Expense"/>
        <s v="PK1 CT Power Block"/>
        <s v="PK1 DCS"/>
        <s v="PK1 Decomp Furnace 1st Baffle Rplc"/>
        <s v="PK1 Decomp Furnace 1st Pass Refacto"/>
        <s v="PK1 Gasifier - Blankets"/>
        <s v="PK1 Polk Common - Blankets"/>
        <s v="PK1 RJQ Containment Area Liner Rplc"/>
        <s v="PK1 Saturator Heater"/>
        <s v="PK2 CO2 Tank Addition"/>
        <s v="PK2 CT Electrical Replacement"/>
        <s v="PK2 DCS"/>
        <s v="PK2 HRSG Bridges"/>
        <s v="PK2 HRSG Catalyst"/>
        <s v="PK2 HRSG Duct Burners"/>
        <s v="Polk 1 Flexibility Project"/>
        <s v="POLK 2 - CSA"/>
        <s v="Polk 2 CC IA Compressor Replacement"/>
        <s v="Polk 2-5 Power Block Blanket"/>
        <s v="POLK 3 - CSA"/>
        <s v="POLK 4 - CSA"/>
        <s v="POLK 5 - CSA"/>
        <s v="Polk Common Blanket"/>
        <s v="Polk DCS Virtual Host Cluster Addit"/>
        <s v="Polk Fuel Diversity Project"/>
        <s v="Polk M&amp;R West Valve Train Upgrade"/>
        <s v="Polk Main Gate Security Upgrades"/>
        <s v="POLK POWER STATION"/>
        <s v="Polk Remote Relay Monitoring and GP"/>
        <s v="POLK STATION EQUIPMENT TOOLS"/>
        <s v="RO EDI Enclosure"/>
        <s v="RWTP B RO Trn Stage 1 Membrane Repl"/>
        <s v="ST2 Alstom HMI Upgrades"/>
        <s v="Storm Ian - Pk Flare Demolition"/>
        <s v="Alafia Solar Capital Blanket"/>
        <s v="Balm Solar Capital Blanket"/>
        <s v="BB2 Solar Blanket Capital"/>
        <s v="Big Bend I Solar (BLANKET)"/>
        <s v="Bonnie Mine Modular Building"/>
        <s v="Bonnie Mine Solar"/>
        <s v="Dover Solar Capital Blanket"/>
        <s v="Durrance Solar Capital Blanket"/>
        <s v="ES Solar Operations General Capital"/>
        <s v="Grange Hall Solar"/>
        <s v="Jamison Inverter Skid Replacement"/>
        <s v="Jamison Solar Blanket Capital"/>
        <s v="Juniper Solar Capital Blanket"/>
        <s v="Lake Hancock Solar"/>
        <s v="Lake Mabel Solar Capital Blanket"/>
        <s v="Laurel Oaks Solar Blanket Capital"/>
        <s v="Lithia Solar Blanket Capital"/>
        <s v="LMR Solar Blanket"/>
        <s v="Magnolia Solar Blanket Capital"/>
        <s v="Mountain View Modular Building"/>
        <s v="Mountain View Solar Blanket Capital"/>
        <s v="Payne Creek Modular Building"/>
        <s v="Payne Creek Solar Capital"/>
        <s v="Payne Creek Water Storage Improvemt"/>
        <s v="Peace Creek Solar"/>
        <s v="Riverside Solar Capital"/>
        <s v="Solar In-House"/>
        <s v="Tracker Replacement - Gamechange"/>
        <s v="Wimauma Solar Blanket"/>
        <s v="Wimauma Solar Blanket Capital"/>
        <s v="BB Modernization - CC Common"/>
        <s v="BB Modernization - CT 5 &amp; 6"/>
        <s v="BB Modernization - ST &amp; HRSG"/>
        <s v="BB II Energy Storage Capacity"/>
        <s v="Big Bend Floating Solar"/>
        <s v="CarbonSAFE III (2711) Well Project"/>
        <s v="CEDC Blanket Capital"/>
        <s v="CEDC Supercapacitors"/>
        <s v="ED Energy Storage - Lake Mabel"/>
        <s v="ED Energy Storage Cap - Wimauma"/>
        <s v="ED Energy Storage Capacit - MacDill"/>
        <s v="ED Energy Storage Capacity - Dover"/>
        <s v="Energy Storage Capacity 15MW Dover"/>
        <s v="Energy Storage Capacity 2025 (Lake Mabel)"/>
        <s v="Energy Storage Capacity 2025 (Macdill)"/>
        <s v="Energy Storage Capacity 2025 (Wimauma)"/>
        <s v="Energy Storage Capacity 2026 (BB)"/>
        <s v="FCTC Flow Battery"/>
        <s v="FCTC Microgrid Phase 1"/>
        <s v="Lake Mabel Energy Storage Capacity"/>
        <s v="MacDill Energy Storage Capacity"/>
        <s v="Polk Environmental Compliance"/>
        <s v="Wimauma Energy Storage Capacity"/>
        <s v="CES New CTL Building"/>
        <s v="EH&amp;S Computer &amp; Related"/>
        <s v="Environmental Air Blanket Capital"/>
        <s v="Environmental FCTC Blanket Capital"/>
        <s v="Environmental General Blanket Cap"/>
        <s v="Environmental Lab Services Blanket"/>
        <s v="Environmental Lab Services BLKT"/>
        <s v="Environmental MVC Blanket Capital"/>
        <s v="Environmental MVC Misc BLKT"/>
        <s v="FCTC - Solar Zone Tables"/>
        <s v="FCTC Interactive Engagements"/>
        <s v="FCTC Project Blanket Activity"/>
        <s v="FCTC Technology-  Solar"/>
        <s v="Alafia Solar Development"/>
        <s v="BB Solar Predictive Controls SW"/>
        <s v="Big Bend II Phase 1 Solar Dev"/>
        <s v="Big Bend III Solar Development"/>
        <s v="Big Four Mine Solar Construction"/>
        <s v="Bullfrog Creek Solar Construction"/>
        <s v="Clean Energy &amp; Emerging Tech Cap"/>
        <s v="Cottonmouth Ranch Solar"/>
        <s v="Dover Solar Development"/>
        <s v="Durrance Solar Development"/>
        <s v="ED Solar - Alafia Solar"/>
        <s v="ED Solar - Big Bend II Phase 2"/>
        <s v="ED Solar - Big Bend Solar II"/>
        <s v="ED Solar - Big Four Mine Solar"/>
        <s v="ED Solar - Brewster Solar"/>
        <s v="ED Solar - Bullfrog Creek Solar"/>
        <s v="ED Solar - Cottonmouth Solar"/>
        <s v="ED Solar - Dover Solar"/>
        <s v="ED Solar - Durrance Solar"/>
        <s v="ED Solar - English Creek Solar"/>
        <s v="ED Solar - Farmland Reserve Solar"/>
        <s v="ED Solar - FFD Solar"/>
        <s v="ED Solar - Jamison"/>
        <s v="ED Solar - Juniper Solar"/>
        <s v="ED Solar - Lake Mabel Solar"/>
        <s v="ED Solar - Laurel Oaks (DelMonte HC"/>
        <s v="ED Solar - Magnolia (Del Monte PC)"/>
        <s v="ED Solar - Mountain View"/>
        <s v="ED Solar - Riverside Solar"/>
        <s v="English Creek Solar Development"/>
        <s v="Farmland Reserve Solar Construction"/>
        <s v="Farmland Solar Land Purchase"/>
        <s v="FFD Solar Construction"/>
        <s v="FFD Solar Land Purchase"/>
        <s v="Jamison Solar Development"/>
        <s v="Juniper Solar Dev"/>
        <s v="Juniper Solar Land Purchase"/>
        <s v="Lake Mabel Solar Dev"/>
        <s v="Land for Future Solar"/>
        <s v="Laurel Oaks Solar Development"/>
        <s v="Magnolia Solar Site Development"/>
        <s v="Mountain View Solar Development"/>
        <s v="Quail Meadow Solar Development"/>
        <s v="Riverside Solar Development"/>
        <s v="Small Scale Solar - Agrivoltaics"/>
        <s v="Solar Energy Center Improvements"/>
        <s v="Solar Energy Center Renovations"/>
        <s v="Solar W4 P 4 ROOD 2027"/>
        <s v="Solar W4 P1 Land Solvay 2026"/>
        <s v="Solar W4 P1 Solvay 2026"/>
        <s v="Solar W4 P2 Wimauma 3 2026"/>
        <s v="Solar W4 P3 Clear springs 2027"/>
        <s v="Solar W4 P3 Land Clear Springs 2027"/>
        <s v="Solar W4 P4 Land ROOD 2027"/>
        <s v="Solar W4 P5 Land CLR springs 2 2028"/>
        <s v="Solar W4 P6 Land Mattianiah 2028"/>
        <s v="Solar W4 P7 TBD 2028"/>
        <s v="Solar Wave 3 Solar Modules"/>
        <s v="Solar Wave 3 Trackers &amp; Inverters"/>
        <s v="SW3 (Big Four &amp; Farmland)"/>
        <s v="SW3 (Cotton Mouth &amp; FFD)"/>
        <s v="SW4  (Brewster &amp; Wimauma)"/>
        <s v="SW4 (Clear Springs &amp; ROOD) "/>
        <s v="Tampa Convention Center Rooftop"/>
        <s v="WAVE 2 Solar Panels"/>
        <s v="Wimauma Solar Land Purchase"/>
        <s v="SW4 (Slear Springs 2 2028"/>
        <s v="SW4 (Mattiahiah 2028)"/>
        <s v="SW4 TBD 2028"/>
      </sharedItems>
    </cacheField>
    <cacheField name="Category" numFmtId="0">
      <sharedItems count="5">
        <s v="AFUDC Eligible Projects - In- Service 2025-2027 (SABRA)"/>
        <s v="Rate Base"/>
        <s v="AFUDC Eligible Project In-Service Prior to 2025"/>
        <s v="Clause"/>
        <s v="AFUDC Eligible Project - In Service after 2027"/>
      </sharedItems>
    </cacheField>
    <cacheField name="2022" numFmtId="0">
      <sharedItems containsString="0" containsBlank="1" containsNumber="1" minValue="-5023264.79" maxValue="46268460.630000003"/>
    </cacheField>
    <cacheField name="2023" numFmtId="0">
      <sharedItems containsString="0" containsBlank="1" containsNumber="1" minValue="-8457783.3300000001" maxValue="65554466.57"/>
    </cacheField>
    <cacheField name="2024" numFmtId="0">
      <sharedItems containsString="0" containsBlank="1" containsNumber="1" minValue="-19617262.27" maxValue="154521142.97999999"/>
    </cacheField>
    <cacheField name="2022-2024 " numFmtId="0">
      <sharedItems containsString="0" containsBlank="1" containsNumber="1" minValue="-5023264.79" maxValue="235075332.44"/>
    </cacheField>
    <cacheField name="2025" numFmtId="0">
      <sharedItems containsString="0" containsBlank="1" containsNumber="1" minValue="0.04" maxValue="85430904.939999998"/>
    </cacheField>
    <cacheField name="2022-2025" numFmtId="0">
      <sharedItems containsString="0" containsBlank="1" containsNumber="1" minValue="-5023264.79" maxValue="290834966.19999999"/>
    </cacheField>
    <cacheField name="2026-2027" numFmtId="0">
      <sharedItems containsString="0" containsBlank="1" containsNumber="1" minValue="0" maxValue="125000000"/>
    </cacheField>
    <cacheField name="Total Project" numFmtId="0">
      <sharedItems containsString="0" containsBlank="1" containsNumber="1" minValue="-389445.65000000014" maxValue="290834966.19999999"/>
    </cacheField>
    <cacheField name="2025 In-Service" numFmtId="0">
      <sharedItems containsString="0" containsBlank="1" containsNumber="1" containsInteger="1" minValue="0" maxValue="181843665"/>
    </cacheField>
    <cacheField name="2026 SABRA" numFmtId="0">
      <sharedItems containsString="0" containsBlank="1" containsNumber="1" containsInteger="1" minValue="0" maxValue="220338006"/>
    </cacheField>
    <cacheField name="2027 SABRA" numFmtId="0">
      <sharedItems containsString="0" containsBlank="1" containsNumber="1" containsInteger="1" minValue="0" maxValue="180598343"/>
    </cacheField>
    <cacheField name="Total 2025-2027" numFmtId="0">
      <sharedItems containsBlank="1" containsMixedTypes="1" containsNumber="1" containsInteger="1" minValue="0" maxValue="357726918"/>
    </cacheField>
    <cacheField name="BUCKET" numFmtId="0">
      <sharedItems count="20">
        <s v="CORPORATE HEADQUARTERS"/>
        <s v="BEARSS OPERATIONS CENTER"/>
        <s v="OUTAGE"/>
        <s v="BLANKETS"/>
        <s v="PLANT IMPROVEMENT (NON-OUTAGE)"/>
        <s v="BUILDING RENOVATION CAPITAL"/>
        <s v="AGP UPGRADES "/>
        <s v="ECRC CLAUSE"/>
        <s v="OTHER"/>
        <s v="CETM"/>
        <s v="SOUTH TAMPA RESILIENCY"/>
        <s v="POLK 1 FLEXIBILTY"/>
        <s v="POLK FUEL DIVERSITY "/>
        <s v="SOLAR OPERATIONS"/>
        <s v="BB MODERNIZATION"/>
        <s v="FUTURE ENERGY STORAGE"/>
        <s v="AFUDC NOT IN SERVICE BY 2027"/>
        <s v="SOLAR"/>
        <s v="FUTURE SOLAR"/>
        <s v="FUTURE SOLAR LAN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6">
  <r>
    <x v="0"/>
    <x v="0"/>
    <x v="0"/>
    <x v="0"/>
    <n v="18653649.980000004"/>
    <n v="38923412.560000025"/>
    <n v="77940829.370000005"/>
    <n v="135517891.91000003"/>
    <n v="53226774.230000004"/>
    <n v="188744666.14000005"/>
    <n v="0"/>
    <n v="188744666.14000005"/>
    <n v="129563704"/>
    <n v="70262090"/>
    <n v="0"/>
    <n v="199825794"/>
    <x v="0"/>
  </r>
  <r>
    <x v="0"/>
    <x v="1"/>
    <x v="1"/>
    <x v="0"/>
    <n v="14999722.890000002"/>
    <n v="65554466.57"/>
    <n v="154521142.97999999"/>
    <n v="235075332.44"/>
    <n v="55759633.760000005"/>
    <n v="290834966.19999999"/>
    <n v="0"/>
    <n v="290834966.19999999"/>
    <n v="181843665"/>
    <n v="175883253"/>
    <n v="0"/>
    <n v="357726918"/>
    <x v="1"/>
  </r>
  <r>
    <x v="0"/>
    <x v="1"/>
    <x v="2"/>
    <x v="0"/>
    <m/>
    <n v="11085208.609999999"/>
    <n v="6544753.2000000002"/>
    <n v="17629961.809999999"/>
    <n v="14625072"/>
    <n v="32255033.809999999"/>
    <n v="0"/>
    <n v="32255033.809999999"/>
    <n v="0"/>
    <n v="0"/>
    <n v="0"/>
    <n v="0"/>
    <x v="1"/>
  </r>
  <r>
    <x v="0"/>
    <x v="2"/>
    <x v="3"/>
    <x v="1"/>
    <m/>
    <n v="519246.5"/>
    <n v="1100000"/>
    <n v="1619246.5"/>
    <m/>
    <n v="1619246.5"/>
    <m/>
    <m/>
    <m/>
    <m/>
    <m/>
    <m/>
    <x v="2"/>
  </r>
  <r>
    <x v="0"/>
    <x v="2"/>
    <x v="4"/>
    <x v="1"/>
    <n v="492450"/>
    <n v="683043.49999999988"/>
    <m/>
    <n v="1175493.5"/>
    <m/>
    <n v="1175493.5"/>
    <m/>
    <m/>
    <m/>
    <m/>
    <m/>
    <m/>
    <x v="2"/>
  </r>
  <r>
    <x v="0"/>
    <x v="2"/>
    <x v="5"/>
    <x v="1"/>
    <n v="23192.970000000008"/>
    <n v="69639.3"/>
    <m/>
    <n v="92832.270000000019"/>
    <m/>
    <n v="92832.270000000019"/>
    <m/>
    <m/>
    <m/>
    <m/>
    <m/>
    <m/>
    <x v="3"/>
  </r>
  <r>
    <x v="0"/>
    <x v="2"/>
    <x v="6"/>
    <x v="1"/>
    <n v="2276540.3100000005"/>
    <n v="-152147.03000000003"/>
    <m/>
    <n v="2124393.2800000003"/>
    <m/>
    <n v="2124393.2800000003"/>
    <m/>
    <m/>
    <m/>
    <m/>
    <m/>
    <m/>
    <x v="3"/>
  </r>
  <r>
    <x v="0"/>
    <x v="2"/>
    <x v="7"/>
    <x v="1"/>
    <m/>
    <n v="732770.56"/>
    <m/>
    <n v="732770.56"/>
    <m/>
    <n v="732770.56"/>
    <m/>
    <m/>
    <m/>
    <m/>
    <m/>
    <m/>
    <x v="3"/>
  </r>
  <r>
    <x v="0"/>
    <x v="2"/>
    <x v="8"/>
    <x v="1"/>
    <m/>
    <m/>
    <n v="300000"/>
    <n v="300000"/>
    <m/>
    <n v="300000"/>
    <m/>
    <m/>
    <m/>
    <m/>
    <m/>
    <m/>
    <x v="3"/>
  </r>
  <r>
    <x v="0"/>
    <x v="2"/>
    <x v="9"/>
    <x v="1"/>
    <n v="103517.50999999998"/>
    <n v="31835.589999999997"/>
    <m/>
    <n v="135353.09999999998"/>
    <m/>
    <n v="135353.09999999998"/>
    <m/>
    <m/>
    <m/>
    <m/>
    <m/>
    <m/>
    <x v="3"/>
  </r>
  <r>
    <x v="0"/>
    <x v="2"/>
    <x v="10"/>
    <x v="1"/>
    <n v="187341.98999999996"/>
    <n v="71422.61"/>
    <m/>
    <n v="258764.59999999998"/>
    <m/>
    <n v="258764.59999999998"/>
    <m/>
    <m/>
    <m/>
    <m/>
    <m/>
    <m/>
    <x v="3"/>
  </r>
  <r>
    <x v="0"/>
    <x v="2"/>
    <x v="11"/>
    <x v="1"/>
    <m/>
    <n v="162187.44"/>
    <m/>
    <n v="162187.44"/>
    <m/>
    <n v="162187.44"/>
    <m/>
    <m/>
    <m/>
    <m/>
    <m/>
    <m/>
    <x v="3"/>
  </r>
  <r>
    <x v="0"/>
    <x v="2"/>
    <x v="12"/>
    <x v="1"/>
    <m/>
    <m/>
    <n v="300000"/>
    <n v="300000"/>
    <m/>
    <n v="300000"/>
    <m/>
    <m/>
    <m/>
    <m/>
    <m/>
    <m/>
    <x v="3"/>
  </r>
  <r>
    <x v="0"/>
    <x v="2"/>
    <x v="13"/>
    <x v="1"/>
    <m/>
    <n v="-238.65"/>
    <m/>
    <n v="-238.65"/>
    <m/>
    <n v="-238.65"/>
    <m/>
    <m/>
    <m/>
    <m/>
    <m/>
    <m/>
    <x v="4"/>
  </r>
  <r>
    <x v="0"/>
    <x v="2"/>
    <x v="14"/>
    <x v="1"/>
    <n v="9338.9399999999987"/>
    <m/>
    <m/>
    <n v="9338.9399999999987"/>
    <m/>
    <n v="9338.9399999999987"/>
    <m/>
    <m/>
    <m/>
    <m/>
    <m/>
    <m/>
    <x v="3"/>
  </r>
  <r>
    <x v="0"/>
    <x v="2"/>
    <x v="15"/>
    <x v="1"/>
    <n v="78267.47"/>
    <n v="-8552.8100000000013"/>
    <m/>
    <n v="69714.66"/>
    <m/>
    <n v="69714.66"/>
    <m/>
    <m/>
    <m/>
    <m/>
    <m/>
    <m/>
    <x v="3"/>
  </r>
  <r>
    <x v="0"/>
    <x v="2"/>
    <x v="16"/>
    <x v="1"/>
    <n v="1113186.3999999999"/>
    <n v="195504.63999999998"/>
    <m/>
    <n v="1308691.0399999998"/>
    <m/>
    <n v="1308691.0399999998"/>
    <m/>
    <m/>
    <m/>
    <m/>
    <m/>
    <m/>
    <x v="3"/>
  </r>
  <r>
    <x v="0"/>
    <x v="2"/>
    <x v="17"/>
    <x v="1"/>
    <m/>
    <n v="1218313.4400000002"/>
    <m/>
    <n v="1218313.4400000002"/>
    <m/>
    <n v="1218313.4400000002"/>
    <m/>
    <m/>
    <m/>
    <m/>
    <m/>
    <m/>
    <x v="3"/>
  </r>
  <r>
    <x v="0"/>
    <x v="2"/>
    <x v="18"/>
    <x v="1"/>
    <m/>
    <m/>
    <n v="200000"/>
    <n v="200000"/>
    <m/>
    <n v="200000"/>
    <m/>
    <m/>
    <m/>
    <m/>
    <m/>
    <m/>
    <x v="3"/>
  </r>
  <r>
    <x v="0"/>
    <x v="2"/>
    <x v="19"/>
    <x v="1"/>
    <n v="201369.46000000008"/>
    <n v="46242.100000000006"/>
    <m/>
    <n v="247611.56000000008"/>
    <m/>
    <n v="247611.56000000008"/>
    <m/>
    <m/>
    <m/>
    <m/>
    <m/>
    <m/>
    <x v="3"/>
  </r>
  <r>
    <x v="0"/>
    <x v="2"/>
    <x v="20"/>
    <x v="1"/>
    <n v="147554.43"/>
    <n v="97935.849999999977"/>
    <m/>
    <n v="245490.27999999997"/>
    <m/>
    <n v="245490.27999999997"/>
    <m/>
    <m/>
    <m/>
    <m/>
    <m/>
    <m/>
    <x v="3"/>
  </r>
  <r>
    <x v="0"/>
    <x v="2"/>
    <x v="21"/>
    <x v="1"/>
    <m/>
    <n v="182392.16"/>
    <m/>
    <n v="182392.16"/>
    <m/>
    <n v="182392.16"/>
    <m/>
    <m/>
    <m/>
    <m/>
    <m/>
    <m/>
    <x v="3"/>
  </r>
  <r>
    <x v="0"/>
    <x v="2"/>
    <x v="22"/>
    <x v="1"/>
    <m/>
    <m/>
    <n v="350000"/>
    <n v="350000"/>
    <m/>
    <n v="350000"/>
    <m/>
    <m/>
    <m/>
    <m/>
    <m/>
    <m/>
    <x v="3"/>
  </r>
  <r>
    <x v="0"/>
    <x v="2"/>
    <x v="23"/>
    <x v="1"/>
    <n v="1239.1899999999998"/>
    <m/>
    <m/>
    <n v="1239.1899999999998"/>
    <m/>
    <n v="1239.1899999999998"/>
    <m/>
    <m/>
    <m/>
    <m/>
    <m/>
    <m/>
    <x v="3"/>
  </r>
  <r>
    <x v="0"/>
    <x v="2"/>
    <x v="24"/>
    <x v="1"/>
    <n v="109258.06"/>
    <n v="110880.31"/>
    <m/>
    <n v="220138.37"/>
    <m/>
    <n v="220138.37"/>
    <m/>
    <m/>
    <m/>
    <m/>
    <m/>
    <m/>
    <x v="3"/>
  </r>
  <r>
    <x v="0"/>
    <x v="2"/>
    <x v="25"/>
    <x v="1"/>
    <m/>
    <n v="345065.25"/>
    <m/>
    <n v="345065.25"/>
    <m/>
    <n v="345065.25"/>
    <m/>
    <m/>
    <m/>
    <m/>
    <m/>
    <m/>
    <x v="3"/>
  </r>
  <r>
    <x v="0"/>
    <x v="2"/>
    <x v="26"/>
    <x v="1"/>
    <m/>
    <m/>
    <n v="150000"/>
    <n v="150000"/>
    <m/>
    <n v="150000"/>
    <m/>
    <m/>
    <m/>
    <m/>
    <m/>
    <m/>
    <x v="3"/>
  </r>
  <r>
    <x v="0"/>
    <x v="2"/>
    <x v="27"/>
    <x v="1"/>
    <m/>
    <m/>
    <m/>
    <n v="0"/>
    <n v="4600000"/>
    <n v="4600000"/>
    <m/>
    <m/>
    <m/>
    <m/>
    <m/>
    <m/>
    <x v="3"/>
  </r>
  <r>
    <x v="0"/>
    <x v="2"/>
    <x v="28"/>
    <x v="1"/>
    <m/>
    <n v="50124.520000000004"/>
    <m/>
    <n v="50124.520000000004"/>
    <m/>
    <n v="50124.520000000004"/>
    <m/>
    <m/>
    <m/>
    <m/>
    <m/>
    <m/>
    <x v="4"/>
  </r>
  <r>
    <x v="0"/>
    <x v="2"/>
    <x v="29"/>
    <x v="1"/>
    <n v="64775"/>
    <m/>
    <m/>
    <n v="64775"/>
    <m/>
    <n v="64775"/>
    <m/>
    <m/>
    <m/>
    <m/>
    <m/>
    <m/>
    <x v="3"/>
  </r>
  <r>
    <x v="0"/>
    <x v="2"/>
    <x v="30"/>
    <x v="1"/>
    <n v="1060023.9200000004"/>
    <n v="483127.24000000005"/>
    <m/>
    <n v="1543151.1600000004"/>
    <m/>
    <n v="1543151.1600000004"/>
    <m/>
    <m/>
    <m/>
    <m/>
    <m/>
    <m/>
    <x v="3"/>
  </r>
  <r>
    <x v="0"/>
    <x v="2"/>
    <x v="31"/>
    <x v="1"/>
    <m/>
    <n v="1290869.2300000002"/>
    <m/>
    <n v="1290869.2300000002"/>
    <m/>
    <n v="1290869.2300000002"/>
    <m/>
    <m/>
    <m/>
    <m/>
    <m/>
    <m/>
    <x v="3"/>
  </r>
  <r>
    <x v="0"/>
    <x v="2"/>
    <x v="32"/>
    <x v="1"/>
    <m/>
    <n v="105012.22"/>
    <n v="200000"/>
    <n v="305012.21999999997"/>
    <m/>
    <n v="305012.21999999997"/>
    <m/>
    <m/>
    <m/>
    <m/>
    <m/>
    <m/>
    <x v="3"/>
  </r>
  <r>
    <x v="0"/>
    <x v="2"/>
    <x v="33"/>
    <x v="1"/>
    <n v="1179302.0499999998"/>
    <n v="3473143.69"/>
    <n v="4209770"/>
    <n v="8862215.7400000002"/>
    <n v="4293009"/>
    <n v="13155224.74"/>
    <m/>
    <m/>
    <m/>
    <m/>
    <m/>
    <m/>
    <x v="2"/>
  </r>
  <r>
    <x v="0"/>
    <x v="2"/>
    <x v="34"/>
    <x v="1"/>
    <n v="236153.92"/>
    <n v="9140.93"/>
    <m/>
    <n v="245294.85"/>
    <m/>
    <n v="245294.85"/>
    <m/>
    <m/>
    <m/>
    <m/>
    <m/>
    <m/>
    <x v="2"/>
  </r>
  <r>
    <x v="0"/>
    <x v="2"/>
    <x v="35"/>
    <x v="1"/>
    <n v="117910.08"/>
    <n v="760.88000000000022"/>
    <m/>
    <n v="118670.96"/>
    <m/>
    <n v="118670.96"/>
    <m/>
    <m/>
    <m/>
    <m/>
    <m/>
    <m/>
    <x v="2"/>
  </r>
  <r>
    <x v="0"/>
    <x v="2"/>
    <x v="36"/>
    <x v="1"/>
    <n v="1441157.6999999995"/>
    <n v="39854.909999999989"/>
    <m/>
    <n v="1481012.6099999994"/>
    <m/>
    <n v="1481012.6099999994"/>
    <m/>
    <m/>
    <m/>
    <m/>
    <m/>
    <m/>
    <x v="2"/>
  </r>
  <r>
    <x v="0"/>
    <x v="2"/>
    <x v="37"/>
    <x v="1"/>
    <n v="63580.179999999993"/>
    <n v="0"/>
    <m/>
    <n v="63580.179999999993"/>
    <m/>
    <n v="63580.179999999993"/>
    <m/>
    <m/>
    <m/>
    <m/>
    <m/>
    <m/>
    <x v="2"/>
  </r>
  <r>
    <x v="0"/>
    <x v="2"/>
    <x v="38"/>
    <x v="1"/>
    <n v="581479.54000000015"/>
    <n v="1478615.5399999998"/>
    <n v="10000"/>
    <n v="2070095.08"/>
    <m/>
    <n v="2070095.08"/>
    <m/>
    <m/>
    <m/>
    <m/>
    <m/>
    <m/>
    <x v="2"/>
  </r>
  <r>
    <x v="0"/>
    <x v="2"/>
    <x v="39"/>
    <x v="1"/>
    <n v="3949.8799999999974"/>
    <m/>
    <m/>
    <n v="3949.8799999999974"/>
    <m/>
    <n v="3949.8799999999974"/>
    <m/>
    <m/>
    <m/>
    <m/>
    <m/>
    <m/>
    <x v="2"/>
  </r>
  <r>
    <x v="0"/>
    <x v="2"/>
    <x v="40"/>
    <x v="1"/>
    <m/>
    <m/>
    <m/>
    <n v="0"/>
    <n v="1200000"/>
    <n v="1200000"/>
    <m/>
    <m/>
    <m/>
    <m/>
    <m/>
    <m/>
    <x v="2"/>
  </r>
  <r>
    <x v="0"/>
    <x v="2"/>
    <x v="41"/>
    <x v="1"/>
    <n v="2776411.6399999997"/>
    <n v="251484.32000000009"/>
    <n v="110990"/>
    <n v="3138885.96"/>
    <m/>
    <n v="3138885.96"/>
    <m/>
    <m/>
    <m/>
    <m/>
    <m/>
    <m/>
    <x v="2"/>
  </r>
  <r>
    <x v="0"/>
    <x v="2"/>
    <x v="42"/>
    <x v="1"/>
    <n v="222.73999999999984"/>
    <m/>
    <m/>
    <n v="222.73999999999984"/>
    <m/>
    <n v="222.73999999999984"/>
    <m/>
    <m/>
    <m/>
    <m/>
    <m/>
    <m/>
    <x v="3"/>
  </r>
  <r>
    <x v="0"/>
    <x v="2"/>
    <x v="43"/>
    <x v="1"/>
    <n v="291819.86"/>
    <n v="67597.64"/>
    <m/>
    <n v="359417.5"/>
    <m/>
    <n v="359417.5"/>
    <m/>
    <m/>
    <m/>
    <m/>
    <m/>
    <m/>
    <x v="2"/>
  </r>
  <r>
    <x v="0"/>
    <x v="2"/>
    <x v="44"/>
    <x v="1"/>
    <n v="371499.87000000011"/>
    <n v="11904.91"/>
    <m/>
    <n v="383404.78000000009"/>
    <m/>
    <n v="383404.78000000009"/>
    <m/>
    <m/>
    <m/>
    <m/>
    <m/>
    <m/>
    <x v="2"/>
  </r>
  <r>
    <x v="0"/>
    <x v="2"/>
    <x v="45"/>
    <x v="1"/>
    <n v="1165998.67"/>
    <n v="84989.709999999977"/>
    <m/>
    <n v="1250988.3799999999"/>
    <m/>
    <n v="1250988.3799999999"/>
    <m/>
    <m/>
    <m/>
    <m/>
    <m/>
    <m/>
    <x v="2"/>
  </r>
  <r>
    <x v="0"/>
    <x v="2"/>
    <x v="46"/>
    <x v="1"/>
    <n v="882559.22"/>
    <n v="771825.38"/>
    <n v="1239745"/>
    <n v="2894129.6"/>
    <n v="3006904"/>
    <n v="5901033.5999999996"/>
    <m/>
    <m/>
    <m/>
    <m/>
    <m/>
    <m/>
    <x v="2"/>
  </r>
  <r>
    <x v="0"/>
    <x v="2"/>
    <x v="47"/>
    <x v="1"/>
    <n v="7196.7799999999979"/>
    <n v="51706.06"/>
    <n v="1599668"/>
    <n v="1658570.84"/>
    <m/>
    <n v="1658570.84"/>
    <m/>
    <m/>
    <m/>
    <m/>
    <m/>
    <m/>
    <x v="4"/>
  </r>
  <r>
    <x v="0"/>
    <x v="2"/>
    <x v="48"/>
    <x v="1"/>
    <m/>
    <m/>
    <m/>
    <n v="0"/>
    <n v="1500000"/>
    <n v="1500000"/>
    <m/>
    <m/>
    <m/>
    <m/>
    <m/>
    <m/>
    <x v="2"/>
  </r>
  <r>
    <x v="0"/>
    <x v="2"/>
    <x v="49"/>
    <x v="1"/>
    <n v="249960.67000000007"/>
    <m/>
    <m/>
    <n v="249960.67000000007"/>
    <m/>
    <n v="249960.67000000007"/>
    <m/>
    <m/>
    <m/>
    <m/>
    <m/>
    <m/>
    <x v="2"/>
  </r>
  <r>
    <x v="0"/>
    <x v="2"/>
    <x v="50"/>
    <x v="1"/>
    <n v="0"/>
    <m/>
    <m/>
    <n v="0"/>
    <m/>
    <n v="0"/>
    <m/>
    <m/>
    <m/>
    <m/>
    <m/>
    <m/>
    <x v="3"/>
  </r>
  <r>
    <x v="0"/>
    <x v="2"/>
    <x v="51"/>
    <x v="1"/>
    <n v="107629.43"/>
    <n v="488083.72000000009"/>
    <n v="159658"/>
    <n v="755371.15000000014"/>
    <m/>
    <n v="755371.15000000014"/>
    <m/>
    <m/>
    <m/>
    <m/>
    <m/>
    <m/>
    <x v="2"/>
  </r>
  <r>
    <x v="0"/>
    <x v="2"/>
    <x v="52"/>
    <x v="1"/>
    <n v="234556.38000000012"/>
    <n v="277060.18999999994"/>
    <m/>
    <n v="511616.57000000007"/>
    <m/>
    <n v="511616.57000000007"/>
    <m/>
    <m/>
    <m/>
    <m/>
    <m/>
    <m/>
    <x v="2"/>
  </r>
  <r>
    <x v="0"/>
    <x v="2"/>
    <x v="53"/>
    <x v="1"/>
    <n v="124984.67999999998"/>
    <n v="330785.48"/>
    <n v="8545"/>
    <n v="464315.16"/>
    <m/>
    <n v="464315.16"/>
    <m/>
    <m/>
    <m/>
    <m/>
    <m/>
    <m/>
    <x v="2"/>
  </r>
  <r>
    <x v="0"/>
    <x v="2"/>
    <x v="54"/>
    <x v="1"/>
    <m/>
    <m/>
    <n v="650000"/>
    <n v="650000"/>
    <m/>
    <n v="650000"/>
    <m/>
    <m/>
    <m/>
    <m/>
    <m/>
    <m/>
    <x v="2"/>
  </r>
  <r>
    <x v="0"/>
    <x v="2"/>
    <x v="55"/>
    <x v="1"/>
    <m/>
    <n v="1200508.8600000001"/>
    <n v="500000"/>
    <n v="1700508.86"/>
    <m/>
    <n v="1700508.86"/>
    <m/>
    <m/>
    <m/>
    <m/>
    <m/>
    <m/>
    <x v="2"/>
  </r>
  <r>
    <x v="0"/>
    <x v="2"/>
    <x v="56"/>
    <x v="1"/>
    <m/>
    <n v="2712741.06"/>
    <n v="100000"/>
    <n v="2812741.06"/>
    <m/>
    <n v="2812741.06"/>
    <m/>
    <m/>
    <m/>
    <m/>
    <m/>
    <m/>
    <x v="2"/>
  </r>
  <r>
    <x v="0"/>
    <x v="2"/>
    <x v="57"/>
    <x v="1"/>
    <m/>
    <m/>
    <m/>
    <n v="0"/>
    <n v="150000"/>
    <n v="150000"/>
    <m/>
    <m/>
    <m/>
    <m/>
    <m/>
    <m/>
    <x v="2"/>
  </r>
  <r>
    <x v="0"/>
    <x v="2"/>
    <x v="58"/>
    <x v="1"/>
    <m/>
    <m/>
    <m/>
    <n v="0"/>
    <n v="150000"/>
    <n v="150000"/>
    <m/>
    <m/>
    <m/>
    <m/>
    <m/>
    <m/>
    <x v="2"/>
  </r>
  <r>
    <x v="0"/>
    <x v="2"/>
    <x v="59"/>
    <x v="1"/>
    <m/>
    <m/>
    <m/>
    <n v="0"/>
    <n v="150000"/>
    <n v="150000"/>
    <m/>
    <m/>
    <m/>
    <m/>
    <m/>
    <m/>
    <x v="2"/>
  </r>
  <r>
    <x v="0"/>
    <x v="2"/>
    <x v="60"/>
    <x v="1"/>
    <m/>
    <m/>
    <m/>
    <n v="0"/>
    <n v="150000"/>
    <n v="150000"/>
    <m/>
    <m/>
    <m/>
    <m/>
    <m/>
    <m/>
    <x v="2"/>
  </r>
  <r>
    <x v="0"/>
    <x v="2"/>
    <x v="61"/>
    <x v="1"/>
    <m/>
    <m/>
    <m/>
    <n v="0"/>
    <n v="150000"/>
    <n v="150000"/>
    <m/>
    <m/>
    <m/>
    <m/>
    <m/>
    <m/>
    <x v="2"/>
  </r>
  <r>
    <x v="0"/>
    <x v="2"/>
    <x v="62"/>
    <x v="1"/>
    <n v="2322393.9700000007"/>
    <n v="336100.62"/>
    <m/>
    <n v="2658494.5900000008"/>
    <m/>
    <n v="2658494.5900000008"/>
    <m/>
    <m/>
    <m/>
    <m/>
    <m/>
    <m/>
    <x v="5"/>
  </r>
  <r>
    <x v="0"/>
    <x v="2"/>
    <x v="63"/>
    <x v="2"/>
    <n v="24530792.269999992"/>
    <n v="4406279.7699999986"/>
    <n v="12440511"/>
    <n v="41377583.039999992"/>
    <m/>
    <n v="41377583.039999992"/>
    <m/>
    <m/>
    <m/>
    <m/>
    <m/>
    <m/>
    <x v="6"/>
  </r>
  <r>
    <x v="0"/>
    <x v="2"/>
    <x v="64"/>
    <x v="1"/>
    <n v="224124.12999999992"/>
    <n v="2736.7200000000003"/>
    <m/>
    <n v="226860.84999999992"/>
    <m/>
    <n v="226860.84999999992"/>
    <m/>
    <m/>
    <m/>
    <m/>
    <m/>
    <m/>
    <x v="2"/>
  </r>
  <r>
    <x v="0"/>
    <x v="2"/>
    <x v="65"/>
    <x v="1"/>
    <m/>
    <n v="912830.81"/>
    <m/>
    <n v="912830.81"/>
    <m/>
    <n v="912830.81"/>
    <m/>
    <m/>
    <m/>
    <m/>
    <m/>
    <m/>
    <x v="2"/>
  </r>
  <r>
    <x v="0"/>
    <x v="2"/>
    <x v="66"/>
    <x v="1"/>
    <n v="-482.07"/>
    <m/>
    <m/>
    <n v="-482.07"/>
    <m/>
    <n v="-482.07"/>
    <m/>
    <m/>
    <m/>
    <m/>
    <m/>
    <m/>
    <x v="2"/>
  </r>
  <r>
    <x v="0"/>
    <x v="2"/>
    <x v="67"/>
    <x v="1"/>
    <m/>
    <m/>
    <m/>
    <n v="0"/>
    <n v="100000"/>
    <n v="100000"/>
    <m/>
    <m/>
    <m/>
    <m/>
    <m/>
    <m/>
    <x v="4"/>
  </r>
  <r>
    <x v="0"/>
    <x v="2"/>
    <x v="68"/>
    <x v="1"/>
    <m/>
    <m/>
    <m/>
    <n v="0"/>
    <n v="750000"/>
    <n v="750000"/>
    <m/>
    <m/>
    <m/>
    <m/>
    <m/>
    <m/>
    <x v="4"/>
  </r>
  <r>
    <x v="0"/>
    <x v="2"/>
    <x v="69"/>
    <x v="1"/>
    <n v="1135496.5800000003"/>
    <n v="173186.31000000003"/>
    <m/>
    <n v="1308682.8900000004"/>
    <m/>
    <n v="1308682.8900000004"/>
    <m/>
    <m/>
    <m/>
    <m/>
    <m/>
    <m/>
    <x v="5"/>
  </r>
  <r>
    <x v="0"/>
    <x v="2"/>
    <x v="70"/>
    <x v="1"/>
    <m/>
    <n v="40808.730000000003"/>
    <n v="153265"/>
    <n v="194073.73"/>
    <n v="1219965"/>
    <n v="1414038.73"/>
    <m/>
    <m/>
    <m/>
    <m/>
    <m/>
    <m/>
    <x v="4"/>
  </r>
  <r>
    <x v="0"/>
    <x v="2"/>
    <x v="71"/>
    <x v="1"/>
    <n v="3739.34"/>
    <m/>
    <m/>
    <n v="3739.34"/>
    <m/>
    <n v="3739.34"/>
    <m/>
    <m/>
    <m/>
    <m/>
    <m/>
    <m/>
    <x v="3"/>
  </r>
  <r>
    <x v="0"/>
    <x v="2"/>
    <x v="72"/>
    <x v="1"/>
    <m/>
    <n v="499734.38"/>
    <n v="961978"/>
    <n v="1461712.38"/>
    <m/>
    <n v="1461712.38"/>
    <m/>
    <m/>
    <m/>
    <m/>
    <m/>
    <m/>
    <x v="2"/>
  </r>
  <r>
    <x v="0"/>
    <x v="2"/>
    <x v="73"/>
    <x v="1"/>
    <m/>
    <n v="11130309.970000001"/>
    <n v="1858375"/>
    <n v="12988684.970000001"/>
    <m/>
    <n v="12988684.970000001"/>
    <m/>
    <m/>
    <m/>
    <m/>
    <m/>
    <m/>
    <x v="4"/>
  </r>
  <r>
    <x v="0"/>
    <x v="2"/>
    <x v="74"/>
    <x v="1"/>
    <n v="383769.43999999994"/>
    <n v="198051.31"/>
    <m/>
    <n v="581820.75"/>
    <m/>
    <n v="581820.75"/>
    <m/>
    <m/>
    <m/>
    <m/>
    <m/>
    <m/>
    <x v="2"/>
  </r>
  <r>
    <x v="0"/>
    <x v="2"/>
    <x v="75"/>
    <x v="1"/>
    <m/>
    <n v="519246.5"/>
    <m/>
    <n v="519246.5"/>
    <n v="9450000"/>
    <n v="9969246.5"/>
    <m/>
    <m/>
    <m/>
    <m/>
    <m/>
    <m/>
    <x v="2"/>
  </r>
  <r>
    <x v="0"/>
    <x v="2"/>
    <x v="76"/>
    <x v="1"/>
    <n v="248391.88999999998"/>
    <n v="-13129.17"/>
    <m/>
    <n v="235262.71999999997"/>
    <m/>
    <n v="235262.71999999997"/>
    <m/>
    <m/>
    <m/>
    <m/>
    <m/>
    <m/>
    <x v="2"/>
  </r>
  <r>
    <x v="0"/>
    <x v="2"/>
    <x v="77"/>
    <x v="1"/>
    <n v="232679.79000000004"/>
    <n v="173530.86"/>
    <m/>
    <n v="406210.65"/>
    <m/>
    <n v="406210.65"/>
    <m/>
    <m/>
    <m/>
    <m/>
    <m/>
    <m/>
    <x v="2"/>
  </r>
  <r>
    <x v="0"/>
    <x v="2"/>
    <x v="78"/>
    <x v="1"/>
    <m/>
    <n v="73384.28"/>
    <m/>
    <n v="73384.28"/>
    <m/>
    <n v="73384.28"/>
    <m/>
    <m/>
    <m/>
    <m/>
    <m/>
    <m/>
    <x v="2"/>
  </r>
  <r>
    <x v="0"/>
    <x v="2"/>
    <x v="79"/>
    <x v="1"/>
    <n v="2640750.54"/>
    <n v="2836480.9999999995"/>
    <m/>
    <n v="5477231.5399999991"/>
    <m/>
    <n v="5477231.5399999991"/>
    <m/>
    <m/>
    <m/>
    <m/>
    <m/>
    <m/>
    <x v="4"/>
  </r>
  <r>
    <x v="0"/>
    <x v="2"/>
    <x v="80"/>
    <x v="1"/>
    <n v="1395812.1199999999"/>
    <n v="27954"/>
    <m/>
    <n v="1423766.1199999999"/>
    <m/>
    <n v="1423766.1199999999"/>
    <m/>
    <m/>
    <m/>
    <m/>
    <m/>
    <m/>
    <x v="5"/>
  </r>
  <r>
    <x v="0"/>
    <x v="2"/>
    <x v="81"/>
    <x v="1"/>
    <n v="66916.92"/>
    <m/>
    <m/>
    <n v="66916.92"/>
    <m/>
    <n v="66916.92"/>
    <m/>
    <m/>
    <m/>
    <m/>
    <m/>
    <m/>
    <x v="4"/>
  </r>
  <r>
    <x v="0"/>
    <x v="2"/>
    <x v="82"/>
    <x v="1"/>
    <m/>
    <n v="247049.80000000002"/>
    <n v="1001"/>
    <n v="248050.80000000002"/>
    <m/>
    <n v="248050.80000000002"/>
    <m/>
    <m/>
    <m/>
    <m/>
    <m/>
    <m/>
    <x v="4"/>
  </r>
  <r>
    <x v="0"/>
    <x v="2"/>
    <x v="83"/>
    <x v="3"/>
    <n v="8766593.8100000005"/>
    <n v="5728848.0200000014"/>
    <n v="1531558"/>
    <n v="16026999.830000002"/>
    <m/>
    <n v="16026999.830000002"/>
    <m/>
    <m/>
    <m/>
    <m/>
    <m/>
    <m/>
    <x v="7"/>
  </r>
  <r>
    <x v="0"/>
    <x v="2"/>
    <x v="84"/>
    <x v="3"/>
    <n v="-1789.96"/>
    <m/>
    <m/>
    <n v="-1789.96"/>
    <m/>
    <n v="-1789.96"/>
    <m/>
    <m/>
    <m/>
    <m/>
    <m/>
    <m/>
    <x v="7"/>
  </r>
  <r>
    <x v="0"/>
    <x v="2"/>
    <x v="85"/>
    <x v="1"/>
    <n v="5809426.0599999987"/>
    <n v="1428510.49"/>
    <n v="4923695"/>
    <n v="12161631.549999999"/>
    <m/>
    <n v="12161631.549999999"/>
    <m/>
    <m/>
    <m/>
    <m/>
    <m/>
    <m/>
    <x v="4"/>
  </r>
  <r>
    <x v="0"/>
    <x v="2"/>
    <x v="86"/>
    <x v="1"/>
    <n v="313568.87000000011"/>
    <n v="68318.14"/>
    <n v="6178"/>
    <n v="388065.01000000013"/>
    <m/>
    <n v="388065.01000000013"/>
    <m/>
    <m/>
    <m/>
    <m/>
    <m/>
    <m/>
    <x v="2"/>
  </r>
  <r>
    <x v="0"/>
    <x v="2"/>
    <x v="87"/>
    <x v="1"/>
    <m/>
    <n v="1269532.8700000001"/>
    <m/>
    <n v="1269532.8700000001"/>
    <n v="2000000"/>
    <n v="3269532.87"/>
    <m/>
    <m/>
    <m/>
    <m/>
    <m/>
    <m/>
    <x v="4"/>
  </r>
  <r>
    <x v="0"/>
    <x v="2"/>
    <x v="88"/>
    <x v="1"/>
    <m/>
    <m/>
    <m/>
    <n v="0"/>
    <n v="1500000"/>
    <n v="1500000"/>
    <m/>
    <m/>
    <m/>
    <m/>
    <m/>
    <m/>
    <x v="4"/>
  </r>
  <r>
    <x v="0"/>
    <x v="2"/>
    <x v="89"/>
    <x v="1"/>
    <n v="524112.62999999989"/>
    <n v="2715"/>
    <m/>
    <n v="526827.62999999989"/>
    <m/>
    <n v="526827.62999999989"/>
    <m/>
    <m/>
    <m/>
    <m/>
    <m/>
    <m/>
    <x v="4"/>
  </r>
  <r>
    <x v="0"/>
    <x v="2"/>
    <x v="90"/>
    <x v="1"/>
    <m/>
    <n v="139448.82000000004"/>
    <n v="50000"/>
    <n v="189448.82000000004"/>
    <m/>
    <n v="189448.82000000004"/>
    <m/>
    <m/>
    <m/>
    <m/>
    <m/>
    <m/>
    <x v="4"/>
  </r>
  <r>
    <x v="0"/>
    <x v="2"/>
    <x v="91"/>
    <x v="1"/>
    <n v="43968.75"/>
    <n v="827167.77999999991"/>
    <n v="1179734"/>
    <n v="2050870.5299999998"/>
    <m/>
    <n v="2050870.5299999998"/>
    <m/>
    <m/>
    <m/>
    <m/>
    <m/>
    <m/>
    <x v="4"/>
  </r>
  <r>
    <x v="0"/>
    <x v="2"/>
    <x v="92"/>
    <x v="1"/>
    <n v="43968.75"/>
    <n v="185388.87"/>
    <n v="836643"/>
    <n v="1066000.6200000001"/>
    <m/>
    <n v="1066000.6200000001"/>
    <m/>
    <m/>
    <m/>
    <m/>
    <m/>
    <m/>
    <x v="4"/>
  </r>
  <r>
    <x v="0"/>
    <x v="2"/>
    <x v="93"/>
    <x v="1"/>
    <m/>
    <m/>
    <n v="750000"/>
    <n v="750000"/>
    <n v="2500000"/>
    <n v="3250000"/>
    <m/>
    <m/>
    <m/>
    <m/>
    <m/>
    <m/>
    <x v="4"/>
  </r>
  <r>
    <x v="0"/>
    <x v="2"/>
    <x v="94"/>
    <x v="1"/>
    <m/>
    <m/>
    <n v="900000"/>
    <n v="900000"/>
    <n v="2750000"/>
    <n v="3650000"/>
    <m/>
    <m/>
    <m/>
    <m/>
    <m/>
    <m/>
    <x v="4"/>
  </r>
  <r>
    <x v="0"/>
    <x v="2"/>
    <x v="95"/>
    <x v="1"/>
    <m/>
    <m/>
    <m/>
    <n v="0"/>
    <n v="250000"/>
    <n v="250000"/>
    <m/>
    <m/>
    <m/>
    <m/>
    <m/>
    <m/>
    <x v="4"/>
  </r>
  <r>
    <x v="0"/>
    <x v="2"/>
    <x v="96"/>
    <x v="1"/>
    <n v="5113221.1499999994"/>
    <n v="105254.50999999989"/>
    <n v="228780"/>
    <n v="5447255.6599999992"/>
    <m/>
    <n v="5447255.6599999992"/>
    <m/>
    <m/>
    <m/>
    <m/>
    <m/>
    <m/>
    <x v="4"/>
  </r>
  <r>
    <x v="0"/>
    <x v="2"/>
    <x v="97"/>
    <x v="1"/>
    <n v="-139230.03999999998"/>
    <n v="50698.57"/>
    <m/>
    <n v="-88531.469999999972"/>
    <m/>
    <n v="-88531.469999999972"/>
    <m/>
    <m/>
    <m/>
    <m/>
    <m/>
    <m/>
    <x v="4"/>
  </r>
  <r>
    <x v="0"/>
    <x v="2"/>
    <x v="98"/>
    <x v="1"/>
    <n v="-101331.06"/>
    <n v="59671.78"/>
    <m/>
    <n v="-41659.279999999999"/>
    <m/>
    <n v="-41659.279999999999"/>
    <m/>
    <m/>
    <m/>
    <m/>
    <m/>
    <m/>
    <x v="4"/>
  </r>
  <r>
    <x v="0"/>
    <x v="2"/>
    <x v="99"/>
    <x v="1"/>
    <m/>
    <n v="716700.17000000016"/>
    <m/>
    <n v="716700.17000000016"/>
    <m/>
    <n v="716700.17000000016"/>
    <m/>
    <m/>
    <m/>
    <m/>
    <m/>
    <m/>
    <x v="4"/>
  </r>
  <r>
    <x v="0"/>
    <x v="2"/>
    <x v="100"/>
    <x v="1"/>
    <m/>
    <m/>
    <n v="50000"/>
    <n v="50000"/>
    <m/>
    <n v="50000"/>
    <m/>
    <m/>
    <m/>
    <m/>
    <m/>
    <m/>
    <x v="4"/>
  </r>
  <r>
    <x v="0"/>
    <x v="2"/>
    <x v="101"/>
    <x v="1"/>
    <m/>
    <m/>
    <n v="1000000"/>
    <n v="1000000"/>
    <n v="300000"/>
    <n v="1300000"/>
    <m/>
    <m/>
    <m/>
    <m/>
    <m/>
    <m/>
    <x v="2"/>
  </r>
  <r>
    <x v="0"/>
    <x v="2"/>
    <x v="102"/>
    <x v="1"/>
    <n v="1353336.4800000004"/>
    <n v="63407.69000000001"/>
    <m/>
    <n v="1416744.1700000004"/>
    <m/>
    <n v="1416744.1700000004"/>
    <m/>
    <m/>
    <m/>
    <m/>
    <m/>
    <m/>
    <x v="2"/>
  </r>
  <r>
    <x v="0"/>
    <x v="2"/>
    <x v="103"/>
    <x v="1"/>
    <m/>
    <n v="3749118.83"/>
    <n v="1823234"/>
    <n v="5572352.8300000001"/>
    <n v="5817533"/>
    <n v="11389885.83"/>
    <m/>
    <m/>
    <m/>
    <m/>
    <m/>
    <m/>
    <x v="2"/>
  </r>
  <r>
    <x v="0"/>
    <x v="2"/>
    <x v="104"/>
    <x v="1"/>
    <n v="1489200.12"/>
    <n v="146194.04"/>
    <n v="3819983.0100000002"/>
    <n v="5455377.1699999999"/>
    <n v="2244083"/>
    <n v="7699460.1699999999"/>
    <m/>
    <m/>
    <m/>
    <m/>
    <m/>
    <m/>
    <x v="2"/>
  </r>
  <r>
    <x v="0"/>
    <x v="2"/>
    <x v="105"/>
    <x v="1"/>
    <n v="145772.41"/>
    <n v="14308.74"/>
    <m/>
    <n v="160081.15"/>
    <m/>
    <n v="160081.15"/>
    <m/>
    <m/>
    <m/>
    <m/>
    <m/>
    <m/>
    <x v="2"/>
  </r>
  <r>
    <x v="0"/>
    <x v="2"/>
    <x v="106"/>
    <x v="1"/>
    <m/>
    <n v="276648.11999999994"/>
    <m/>
    <n v="276648.11999999994"/>
    <m/>
    <n v="276648.11999999994"/>
    <m/>
    <m/>
    <m/>
    <m/>
    <m/>
    <m/>
    <x v="2"/>
  </r>
  <r>
    <x v="0"/>
    <x v="2"/>
    <x v="107"/>
    <x v="1"/>
    <m/>
    <n v="1695881.0499999998"/>
    <n v="1304118.95"/>
    <n v="3000000"/>
    <m/>
    <n v="3000000"/>
    <m/>
    <m/>
    <m/>
    <m/>
    <m/>
    <m/>
    <x v="2"/>
  </r>
  <r>
    <x v="0"/>
    <x v="2"/>
    <x v="108"/>
    <x v="1"/>
    <n v="306070.44999999995"/>
    <n v="1701916.8799999997"/>
    <n v="47430"/>
    <n v="2055417.3299999996"/>
    <m/>
    <n v="2055417.3299999996"/>
    <m/>
    <m/>
    <m/>
    <m/>
    <m/>
    <m/>
    <x v="2"/>
  </r>
  <r>
    <x v="0"/>
    <x v="2"/>
    <x v="109"/>
    <x v="1"/>
    <n v="2431660.9699999997"/>
    <n v="3766658.9700000011"/>
    <n v="5119044"/>
    <n v="11317363.940000001"/>
    <m/>
    <n v="11317363.940000001"/>
    <m/>
    <m/>
    <m/>
    <m/>
    <m/>
    <m/>
    <x v="2"/>
  </r>
  <r>
    <x v="0"/>
    <x v="2"/>
    <x v="110"/>
    <x v="1"/>
    <m/>
    <n v="211148.37999999995"/>
    <n v="42230"/>
    <n v="253378.37999999995"/>
    <m/>
    <n v="253378.37999999995"/>
    <m/>
    <m/>
    <m/>
    <m/>
    <m/>
    <m/>
    <x v="2"/>
  </r>
  <r>
    <x v="0"/>
    <x v="2"/>
    <x v="111"/>
    <x v="1"/>
    <n v="162679.00999999998"/>
    <n v="4990740.7600000016"/>
    <n v="232486"/>
    <n v="5385905.7700000014"/>
    <m/>
    <n v="5385905.7700000014"/>
    <m/>
    <m/>
    <m/>
    <m/>
    <m/>
    <m/>
    <x v="2"/>
  </r>
  <r>
    <x v="0"/>
    <x v="2"/>
    <x v="112"/>
    <x v="1"/>
    <m/>
    <m/>
    <m/>
    <n v="0"/>
    <n v="1000000"/>
    <n v="1000000"/>
    <m/>
    <m/>
    <m/>
    <m/>
    <m/>
    <m/>
    <x v="2"/>
  </r>
  <r>
    <x v="0"/>
    <x v="2"/>
    <x v="113"/>
    <x v="1"/>
    <n v="258300.19999999998"/>
    <n v="745061.5"/>
    <n v="497319"/>
    <n v="1500680.7"/>
    <n v="806115"/>
    <n v="2306795.7000000002"/>
    <m/>
    <m/>
    <m/>
    <m/>
    <m/>
    <m/>
    <x v="2"/>
  </r>
  <r>
    <x v="0"/>
    <x v="2"/>
    <x v="114"/>
    <x v="1"/>
    <m/>
    <n v="900600.69000000018"/>
    <m/>
    <n v="900600.69000000018"/>
    <m/>
    <n v="900600.69000000018"/>
    <m/>
    <m/>
    <m/>
    <m/>
    <m/>
    <m/>
    <x v="2"/>
  </r>
  <r>
    <x v="0"/>
    <x v="2"/>
    <x v="115"/>
    <x v="1"/>
    <m/>
    <m/>
    <n v="50000"/>
    <n v="50000"/>
    <n v="200000"/>
    <n v="250000"/>
    <m/>
    <m/>
    <m/>
    <m/>
    <m/>
    <m/>
    <x v="4"/>
  </r>
  <r>
    <x v="0"/>
    <x v="2"/>
    <x v="116"/>
    <x v="1"/>
    <m/>
    <m/>
    <n v="50000"/>
    <n v="50000"/>
    <m/>
    <n v="50000"/>
    <m/>
    <m/>
    <m/>
    <m/>
    <m/>
    <m/>
    <x v="4"/>
  </r>
  <r>
    <x v="0"/>
    <x v="2"/>
    <x v="117"/>
    <x v="1"/>
    <m/>
    <m/>
    <m/>
    <n v="0"/>
    <n v="850000"/>
    <n v="850000"/>
    <m/>
    <m/>
    <m/>
    <m/>
    <m/>
    <m/>
    <x v="2"/>
  </r>
  <r>
    <x v="0"/>
    <x v="2"/>
    <x v="118"/>
    <x v="1"/>
    <n v="1322313.1600000001"/>
    <n v="282092.14000000007"/>
    <m/>
    <n v="1604405.3000000003"/>
    <m/>
    <n v="1604405.3000000003"/>
    <m/>
    <m/>
    <m/>
    <m/>
    <m/>
    <m/>
    <x v="2"/>
  </r>
  <r>
    <x v="0"/>
    <x v="2"/>
    <x v="119"/>
    <x v="1"/>
    <m/>
    <n v="130850.12"/>
    <n v="500000"/>
    <n v="630850.12"/>
    <m/>
    <n v="630850.12"/>
    <m/>
    <m/>
    <m/>
    <m/>
    <m/>
    <m/>
    <x v="2"/>
  </r>
  <r>
    <x v="0"/>
    <x v="2"/>
    <x v="120"/>
    <x v="1"/>
    <n v="2436.9699999999998"/>
    <m/>
    <m/>
    <n v="2436.9699999999998"/>
    <m/>
    <n v="2436.9699999999998"/>
    <m/>
    <m/>
    <m/>
    <m/>
    <m/>
    <m/>
    <x v="4"/>
  </r>
  <r>
    <x v="0"/>
    <x v="2"/>
    <x v="121"/>
    <x v="1"/>
    <n v="44166.920000000006"/>
    <m/>
    <m/>
    <n v="44166.920000000006"/>
    <m/>
    <n v="44166.920000000006"/>
    <m/>
    <m/>
    <m/>
    <m/>
    <m/>
    <m/>
    <x v="2"/>
  </r>
  <r>
    <x v="0"/>
    <x v="2"/>
    <x v="122"/>
    <x v="1"/>
    <n v="779127.95"/>
    <n v="267421.99"/>
    <m/>
    <n v="1046549.94"/>
    <m/>
    <n v="1046549.94"/>
    <m/>
    <m/>
    <m/>
    <m/>
    <m/>
    <m/>
    <x v="2"/>
  </r>
  <r>
    <x v="0"/>
    <x v="2"/>
    <x v="123"/>
    <x v="1"/>
    <n v="970095.30999999994"/>
    <n v="-60051.730000000054"/>
    <m/>
    <n v="910043.57999999984"/>
    <m/>
    <n v="910043.57999999984"/>
    <m/>
    <m/>
    <m/>
    <m/>
    <m/>
    <m/>
    <x v="2"/>
  </r>
  <r>
    <x v="0"/>
    <x v="2"/>
    <x v="124"/>
    <x v="1"/>
    <m/>
    <m/>
    <n v="200000"/>
    <n v="200000"/>
    <n v="383333"/>
    <n v="583333"/>
    <m/>
    <m/>
    <m/>
    <m/>
    <m/>
    <m/>
    <x v="2"/>
  </r>
  <r>
    <x v="0"/>
    <x v="2"/>
    <x v="125"/>
    <x v="1"/>
    <n v="1086978.29"/>
    <n v="-38687.71000000005"/>
    <m/>
    <n v="1048290.58"/>
    <m/>
    <n v="1048290.58"/>
    <m/>
    <m/>
    <m/>
    <m/>
    <m/>
    <m/>
    <x v="2"/>
  </r>
  <r>
    <x v="0"/>
    <x v="2"/>
    <x v="126"/>
    <x v="1"/>
    <m/>
    <m/>
    <n v="200000"/>
    <n v="200000"/>
    <n v="383333"/>
    <n v="583333"/>
    <m/>
    <m/>
    <m/>
    <m/>
    <m/>
    <m/>
    <x v="2"/>
  </r>
  <r>
    <x v="0"/>
    <x v="2"/>
    <x v="127"/>
    <x v="1"/>
    <m/>
    <m/>
    <n v="200000"/>
    <n v="200000"/>
    <n v="383333"/>
    <n v="583333"/>
    <m/>
    <m/>
    <m/>
    <m/>
    <m/>
    <m/>
    <x v="2"/>
  </r>
  <r>
    <x v="0"/>
    <x v="2"/>
    <x v="128"/>
    <x v="1"/>
    <n v="102343.83999999998"/>
    <n v="1287.94"/>
    <m/>
    <n v="103631.77999999998"/>
    <m/>
    <n v="103631.77999999998"/>
    <m/>
    <m/>
    <m/>
    <m/>
    <m/>
    <m/>
    <x v="2"/>
  </r>
  <r>
    <x v="0"/>
    <x v="2"/>
    <x v="129"/>
    <x v="1"/>
    <m/>
    <n v="216865.06"/>
    <n v="106322"/>
    <n v="323187.06"/>
    <m/>
    <n v="323187.06"/>
    <m/>
    <m/>
    <m/>
    <m/>
    <m/>
    <m/>
    <x v="2"/>
  </r>
  <r>
    <x v="0"/>
    <x v="2"/>
    <x v="130"/>
    <x v="1"/>
    <n v="619076.12000000011"/>
    <n v="247421.07000000004"/>
    <n v="26375"/>
    <n v="892872.19000000018"/>
    <m/>
    <n v="892872.19000000018"/>
    <m/>
    <m/>
    <m/>
    <m/>
    <m/>
    <m/>
    <x v="2"/>
  </r>
  <r>
    <x v="0"/>
    <x v="2"/>
    <x v="131"/>
    <x v="1"/>
    <m/>
    <n v="278224.59000000003"/>
    <n v="862977"/>
    <n v="1141201.5900000001"/>
    <m/>
    <n v="1141201.5900000001"/>
    <m/>
    <m/>
    <m/>
    <m/>
    <m/>
    <m/>
    <x v="2"/>
  </r>
  <r>
    <x v="0"/>
    <x v="2"/>
    <x v="132"/>
    <x v="1"/>
    <n v="264245.78000000003"/>
    <n v="751819.24000000011"/>
    <n v="129720"/>
    <n v="1145785.02"/>
    <m/>
    <n v="1145785.02"/>
    <m/>
    <m/>
    <m/>
    <m/>
    <m/>
    <m/>
    <x v="2"/>
  </r>
  <r>
    <x v="0"/>
    <x v="2"/>
    <x v="133"/>
    <x v="1"/>
    <m/>
    <n v="368424.7900000001"/>
    <m/>
    <n v="368424.7900000001"/>
    <m/>
    <n v="368424.7900000001"/>
    <m/>
    <m/>
    <m/>
    <m/>
    <m/>
    <m/>
    <x v="2"/>
  </r>
  <r>
    <x v="0"/>
    <x v="2"/>
    <x v="134"/>
    <x v="1"/>
    <m/>
    <n v="249356.08000000002"/>
    <n v="1270801"/>
    <n v="1520157.08"/>
    <m/>
    <n v="1520157.08"/>
    <m/>
    <m/>
    <m/>
    <m/>
    <m/>
    <m/>
    <x v="2"/>
  </r>
  <r>
    <x v="0"/>
    <x v="2"/>
    <x v="135"/>
    <x v="1"/>
    <n v="-90880.830000000089"/>
    <m/>
    <m/>
    <n v="-90880.830000000089"/>
    <m/>
    <n v="-90880.830000000089"/>
    <m/>
    <m/>
    <m/>
    <m/>
    <m/>
    <m/>
    <x v="2"/>
  </r>
  <r>
    <x v="0"/>
    <x v="2"/>
    <x v="136"/>
    <x v="1"/>
    <m/>
    <n v="363739.58999999997"/>
    <m/>
    <n v="363739.58999999997"/>
    <m/>
    <n v="363739.58999999997"/>
    <m/>
    <m/>
    <m/>
    <m/>
    <m/>
    <m/>
    <x v="2"/>
  </r>
  <r>
    <x v="0"/>
    <x v="2"/>
    <x v="137"/>
    <x v="1"/>
    <n v="264001.14"/>
    <n v="647590.75999999966"/>
    <n v="135673"/>
    <n v="1047264.8999999997"/>
    <m/>
    <n v="1047264.8999999997"/>
    <m/>
    <m/>
    <m/>
    <m/>
    <m/>
    <m/>
    <x v="2"/>
  </r>
  <r>
    <x v="0"/>
    <x v="2"/>
    <x v="138"/>
    <x v="1"/>
    <m/>
    <n v="361524.14999999997"/>
    <m/>
    <n v="361524.14999999997"/>
    <m/>
    <n v="361524.14999999997"/>
    <m/>
    <m/>
    <m/>
    <m/>
    <m/>
    <m/>
    <x v="2"/>
  </r>
  <r>
    <x v="0"/>
    <x v="2"/>
    <x v="139"/>
    <x v="1"/>
    <n v="263984.07"/>
    <n v="644802.46000000008"/>
    <n v="129805"/>
    <n v="1038591.53"/>
    <m/>
    <n v="1038591.53"/>
    <m/>
    <m/>
    <m/>
    <m/>
    <m/>
    <m/>
    <x v="2"/>
  </r>
  <r>
    <x v="0"/>
    <x v="2"/>
    <x v="140"/>
    <x v="1"/>
    <m/>
    <n v="386800.11000000004"/>
    <m/>
    <n v="386800.11000000004"/>
    <m/>
    <n v="386800.11000000004"/>
    <m/>
    <m/>
    <m/>
    <m/>
    <m/>
    <m/>
    <x v="2"/>
  </r>
  <r>
    <x v="0"/>
    <x v="2"/>
    <x v="141"/>
    <x v="1"/>
    <m/>
    <n v="-4.1700000000000159"/>
    <m/>
    <n v="-4.1700000000000159"/>
    <m/>
    <n v="-4.1700000000000159"/>
    <m/>
    <m/>
    <m/>
    <m/>
    <m/>
    <m/>
    <x v="2"/>
  </r>
  <r>
    <x v="0"/>
    <x v="2"/>
    <x v="142"/>
    <x v="1"/>
    <m/>
    <m/>
    <n v="130000"/>
    <n v="130000"/>
    <m/>
    <n v="130000"/>
    <m/>
    <m/>
    <m/>
    <m/>
    <m/>
    <m/>
    <x v="2"/>
  </r>
  <r>
    <x v="0"/>
    <x v="2"/>
    <x v="143"/>
    <x v="1"/>
    <m/>
    <m/>
    <n v="180000"/>
    <n v="180000"/>
    <m/>
    <n v="180000"/>
    <m/>
    <m/>
    <m/>
    <m/>
    <m/>
    <m/>
    <x v="2"/>
  </r>
  <r>
    <x v="0"/>
    <x v="2"/>
    <x v="144"/>
    <x v="1"/>
    <n v="5002.1000000000004"/>
    <n v="615818.18999999983"/>
    <n v="3391953"/>
    <n v="4012773.29"/>
    <m/>
    <n v="4012773.29"/>
    <m/>
    <m/>
    <m/>
    <m/>
    <m/>
    <m/>
    <x v="2"/>
  </r>
  <r>
    <x v="0"/>
    <x v="2"/>
    <x v="145"/>
    <x v="1"/>
    <m/>
    <n v="223949.56"/>
    <n v="1001"/>
    <n v="224950.56"/>
    <m/>
    <n v="224950.56"/>
    <m/>
    <m/>
    <m/>
    <m/>
    <m/>
    <m/>
    <x v="2"/>
  </r>
  <r>
    <x v="0"/>
    <x v="3"/>
    <x v="146"/>
    <x v="1"/>
    <m/>
    <m/>
    <m/>
    <n v="0"/>
    <n v="50000"/>
    <n v="50000"/>
    <m/>
    <m/>
    <m/>
    <m/>
    <m/>
    <m/>
    <x v="5"/>
  </r>
  <r>
    <x v="0"/>
    <x v="3"/>
    <x v="147"/>
    <x v="1"/>
    <m/>
    <n v="655490.15"/>
    <m/>
    <n v="655490.15"/>
    <m/>
    <n v="655490.15"/>
    <m/>
    <m/>
    <m/>
    <m/>
    <m/>
    <m/>
    <x v="5"/>
  </r>
  <r>
    <x v="0"/>
    <x v="3"/>
    <x v="148"/>
    <x v="1"/>
    <m/>
    <n v="3098955.1199999996"/>
    <m/>
    <n v="3098955.1199999996"/>
    <m/>
    <n v="3098955.1199999996"/>
    <m/>
    <m/>
    <m/>
    <m/>
    <m/>
    <m/>
    <x v="2"/>
  </r>
  <r>
    <x v="0"/>
    <x v="3"/>
    <x v="149"/>
    <x v="1"/>
    <n v="161670.16"/>
    <n v="64489.79"/>
    <m/>
    <n v="226159.95"/>
    <m/>
    <n v="226159.95"/>
    <m/>
    <m/>
    <m/>
    <m/>
    <m/>
    <m/>
    <x v="4"/>
  </r>
  <r>
    <x v="0"/>
    <x v="3"/>
    <x v="150"/>
    <x v="1"/>
    <m/>
    <n v="439327.76999999996"/>
    <n v="212000"/>
    <n v="651327.77"/>
    <m/>
    <n v="651327.77"/>
    <m/>
    <m/>
    <m/>
    <m/>
    <m/>
    <m/>
    <x v="2"/>
  </r>
  <r>
    <x v="0"/>
    <x v="3"/>
    <x v="151"/>
    <x v="1"/>
    <m/>
    <n v="252941.72"/>
    <n v="60000"/>
    <n v="312941.71999999997"/>
    <m/>
    <n v="312941.71999999997"/>
    <m/>
    <m/>
    <m/>
    <m/>
    <m/>
    <m/>
    <x v="2"/>
  </r>
  <r>
    <x v="0"/>
    <x v="3"/>
    <x v="152"/>
    <x v="1"/>
    <n v="528790.14000000013"/>
    <n v="40663.61"/>
    <m/>
    <n v="569453.75000000012"/>
    <m/>
    <n v="569453.75000000012"/>
    <m/>
    <m/>
    <m/>
    <m/>
    <m/>
    <m/>
    <x v="2"/>
  </r>
  <r>
    <x v="0"/>
    <x v="3"/>
    <x v="153"/>
    <x v="1"/>
    <m/>
    <n v="864678.73"/>
    <m/>
    <n v="864678.73"/>
    <m/>
    <n v="864678.73"/>
    <m/>
    <m/>
    <m/>
    <m/>
    <m/>
    <m/>
    <x v="3"/>
  </r>
  <r>
    <x v="0"/>
    <x v="3"/>
    <x v="154"/>
    <x v="1"/>
    <m/>
    <m/>
    <n v="300000"/>
    <n v="300000"/>
    <m/>
    <n v="300000"/>
    <m/>
    <m/>
    <m/>
    <m/>
    <m/>
    <m/>
    <x v="3"/>
  </r>
  <r>
    <x v="0"/>
    <x v="3"/>
    <x v="155"/>
    <x v="1"/>
    <n v="-362.58"/>
    <m/>
    <m/>
    <n v="-362.58"/>
    <m/>
    <n v="-362.58"/>
    <m/>
    <m/>
    <m/>
    <m/>
    <m/>
    <m/>
    <x v="3"/>
  </r>
  <r>
    <x v="0"/>
    <x v="3"/>
    <x v="156"/>
    <x v="1"/>
    <n v="69013.319999999992"/>
    <n v="107282.45000000001"/>
    <m/>
    <n v="176295.77000000002"/>
    <m/>
    <n v="176295.77000000002"/>
    <m/>
    <m/>
    <m/>
    <m/>
    <m/>
    <m/>
    <x v="3"/>
  </r>
  <r>
    <x v="0"/>
    <x v="3"/>
    <x v="157"/>
    <x v="1"/>
    <m/>
    <n v="528795.21"/>
    <m/>
    <n v="528795.21"/>
    <m/>
    <n v="528795.21"/>
    <m/>
    <m/>
    <m/>
    <m/>
    <m/>
    <m/>
    <x v="3"/>
  </r>
  <r>
    <x v="0"/>
    <x v="3"/>
    <x v="158"/>
    <x v="1"/>
    <m/>
    <m/>
    <n v="350000"/>
    <n v="350000"/>
    <m/>
    <n v="350000"/>
    <m/>
    <m/>
    <m/>
    <m/>
    <m/>
    <m/>
    <x v="3"/>
  </r>
  <r>
    <x v="0"/>
    <x v="3"/>
    <x v="159"/>
    <x v="1"/>
    <m/>
    <m/>
    <m/>
    <n v="0"/>
    <n v="150000"/>
    <n v="150000"/>
    <m/>
    <m/>
    <m/>
    <m/>
    <m/>
    <m/>
    <x v="2"/>
  </r>
  <r>
    <x v="0"/>
    <x v="3"/>
    <x v="160"/>
    <x v="3"/>
    <n v="-5023264.79"/>
    <m/>
    <m/>
    <n v="-5023264.79"/>
    <m/>
    <n v="-5023264.79"/>
    <m/>
    <m/>
    <m/>
    <m/>
    <m/>
    <m/>
    <x v="7"/>
  </r>
  <r>
    <x v="0"/>
    <x v="3"/>
    <x v="161"/>
    <x v="1"/>
    <n v="10735.459999999995"/>
    <m/>
    <m/>
    <n v="10735.459999999995"/>
    <m/>
    <n v="10735.459999999995"/>
    <m/>
    <m/>
    <m/>
    <m/>
    <m/>
    <m/>
    <x v="3"/>
  </r>
  <r>
    <x v="0"/>
    <x v="3"/>
    <x v="162"/>
    <x v="1"/>
    <n v="50727.63"/>
    <m/>
    <m/>
    <n v="50727.63"/>
    <m/>
    <n v="50727.63"/>
    <m/>
    <m/>
    <m/>
    <m/>
    <m/>
    <m/>
    <x v="3"/>
  </r>
  <r>
    <x v="0"/>
    <x v="3"/>
    <x v="163"/>
    <x v="1"/>
    <n v="52867.369999999988"/>
    <n v="4694.3899999999994"/>
    <m/>
    <n v="57561.759999999987"/>
    <m/>
    <n v="57561.759999999987"/>
    <m/>
    <m/>
    <m/>
    <m/>
    <m/>
    <m/>
    <x v="3"/>
  </r>
  <r>
    <x v="0"/>
    <x v="3"/>
    <x v="164"/>
    <x v="1"/>
    <m/>
    <n v="194037.67"/>
    <m/>
    <n v="194037.67"/>
    <m/>
    <n v="194037.67"/>
    <m/>
    <m/>
    <m/>
    <m/>
    <m/>
    <m/>
    <x v="3"/>
  </r>
  <r>
    <x v="0"/>
    <x v="3"/>
    <x v="165"/>
    <x v="3"/>
    <n v="-4021003.64"/>
    <m/>
    <m/>
    <n v="-4021003.64"/>
    <m/>
    <n v="-4021003.64"/>
    <m/>
    <m/>
    <m/>
    <m/>
    <m/>
    <m/>
    <x v="7"/>
  </r>
  <r>
    <x v="0"/>
    <x v="3"/>
    <x v="166"/>
    <x v="1"/>
    <m/>
    <n v="8799.2000000000007"/>
    <m/>
    <n v="8799.2000000000007"/>
    <m/>
    <n v="8799.2000000000007"/>
    <m/>
    <m/>
    <m/>
    <m/>
    <m/>
    <m/>
    <x v="2"/>
  </r>
  <r>
    <x v="0"/>
    <x v="3"/>
    <x v="167"/>
    <x v="1"/>
    <m/>
    <m/>
    <m/>
    <n v="0"/>
    <n v="500000.04"/>
    <n v="500000.04"/>
    <m/>
    <m/>
    <m/>
    <m/>
    <m/>
    <m/>
    <x v="2"/>
  </r>
  <r>
    <x v="0"/>
    <x v="3"/>
    <x v="168"/>
    <x v="1"/>
    <m/>
    <n v="26397.599999999999"/>
    <m/>
    <n v="26397.599999999999"/>
    <n v="100000"/>
    <n v="126397.6"/>
    <m/>
    <m/>
    <m/>
    <m/>
    <m/>
    <m/>
    <x v="2"/>
  </r>
  <r>
    <x v="0"/>
    <x v="3"/>
    <x v="169"/>
    <x v="1"/>
    <m/>
    <n v="398044.8"/>
    <m/>
    <n v="398044.8"/>
    <n v="200000.04"/>
    <n v="598044.84"/>
    <m/>
    <m/>
    <m/>
    <m/>
    <m/>
    <m/>
    <x v="2"/>
  </r>
  <r>
    <x v="0"/>
    <x v="3"/>
    <x v="170"/>
    <x v="1"/>
    <m/>
    <m/>
    <n v="500000"/>
    <n v="500000"/>
    <m/>
    <n v="500000"/>
    <m/>
    <m/>
    <m/>
    <m/>
    <m/>
    <m/>
    <x v="2"/>
  </r>
  <r>
    <x v="0"/>
    <x v="3"/>
    <x v="171"/>
    <x v="1"/>
    <n v="-2889.5300000000175"/>
    <n v="-31862"/>
    <m/>
    <n v="-34751.530000000021"/>
    <m/>
    <n v="-34751.530000000021"/>
    <m/>
    <m/>
    <m/>
    <m/>
    <m/>
    <m/>
    <x v="2"/>
  </r>
  <r>
    <x v="0"/>
    <x v="3"/>
    <x v="172"/>
    <x v="1"/>
    <n v="386072.6"/>
    <n v="1016572.7000000001"/>
    <n v="543300.01"/>
    <n v="1945945.31"/>
    <n v="52571.040000000001"/>
    <n v="1998516.35"/>
    <m/>
    <m/>
    <m/>
    <m/>
    <m/>
    <m/>
    <x v="2"/>
  </r>
  <r>
    <x v="0"/>
    <x v="3"/>
    <x v="173"/>
    <x v="1"/>
    <m/>
    <m/>
    <n v="500000"/>
    <n v="500000"/>
    <m/>
    <n v="500000"/>
    <m/>
    <m/>
    <m/>
    <m/>
    <m/>
    <m/>
    <x v="2"/>
  </r>
  <r>
    <x v="0"/>
    <x v="3"/>
    <x v="174"/>
    <x v="1"/>
    <m/>
    <m/>
    <n v="100000"/>
    <n v="100000"/>
    <n v="400000"/>
    <n v="500000"/>
    <m/>
    <m/>
    <m/>
    <m/>
    <m/>
    <m/>
    <x v="2"/>
  </r>
  <r>
    <x v="0"/>
    <x v="3"/>
    <x v="175"/>
    <x v="1"/>
    <n v="0"/>
    <m/>
    <m/>
    <n v="0"/>
    <m/>
    <n v="0"/>
    <m/>
    <m/>
    <m/>
    <m/>
    <m/>
    <m/>
    <x v="4"/>
  </r>
  <r>
    <x v="0"/>
    <x v="3"/>
    <x v="176"/>
    <x v="1"/>
    <m/>
    <m/>
    <n v="650000"/>
    <n v="650000"/>
    <m/>
    <n v="650000"/>
    <m/>
    <m/>
    <m/>
    <m/>
    <m/>
    <m/>
    <x v="4"/>
  </r>
  <r>
    <x v="0"/>
    <x v="3"/>
    <x v="177"/>
    <x v="1"/>
    <n v="2906810.7000000007"/>
    <n v="7893278.0400000028"/>
    <m/>
    <n v="10800088.740000004"/>
    <m/>
    <n v="10800088.740000004"/>
    <m/>
    <m/>
    <m/>
    <m/>
    <m/>
    <m/>
    <x v="2"/>
  </r>
  <r>
    <x v="0"/>
    <x v="3"/>
    <x v="178"/>
    <x v="1"/>
    <n v="58598.270000000004"/>
    <m/>
    <m/>
    <n v="58598.270000000004"/>
    <m/>
    <n v="58598.270000000004"/>
    <m/>
    <m/>
    <m/>
    <m/>
    <m/>
    <m/>
    <x v="4"/>
  </r>
  <r>
    <x v="0"/>
    <x v="3"/>
    <x v="179"/>
    <x v="1"/>
    <m/>
    <m/>
    <n v="95812"/>
    <n v="95812"/>
    <m/>
    <n v="95812"/>
    <m/>
    <m/>
    <m/>
    <m/>
    <m/>
    <m/>
    <x v="2"/>
  </r>
  <r>
    <x v="0"/>
    <x v="3"/>
    <x v="180"/>
    <x v="1"/>
    <n v="13836.859999999986"/>
    <m/>
    <m/>
    <n v="13836.859999999986"/>
    <m/>
    <n v="13836.859999999986"/>
    <m/>
    <m/>
    <m/>
    <m/>
    <m/>
    <m/>
    <x v="2"/>
  </r>
  <r>
    <x v="0"/>
    <x v="3"/>
    <x v="181"/>
    <x v="1"/>
    <m/>
    <n v="88262.959999999992"/>
    <m/>
    <n v="88262.959999999992"/>
    <m/>
    <n v="88262.959999999992"/>
    <m/>
    <m/>
    <m/>
    <m/>
    <m/>
    <m/>
    <x v="2"/>
  </r>
  <r>
    <x v="0"/>
    <x v="3"/>
    <x v="182"/>
    <x v="1"/>
    <m/>
    <n v="1237883.6599999999"/>
    <n v="300000"/>
    <n v="1537883.66"/>
    <n v="800000"/>
    <n v="2337883.66"/>
    <m/>
    <m/>
    <m/>
    <m/>
    <m/>
    <m/>
    <x v="2"/>
  </r>
  <r>
    <x v="0"/>
    <x v="3"/>
    <x v="183"/>
    <x v="1"/>
    <m/>
    <m/>
    <n v="200000.00999999998"/>
    <n v="200000.00999999998"/>
    <n v="650000.04"/>
    <n v="850000.05"/>
    <m/>
    <m/>
    <m/>
    <m/>
    <m/>
    <m/>
    <x v="2"/>
  </r>
  <r>
    <x v="0"/>
    <x v="3"/>
    <x v="184"/>
    <x v="1"/>
    <m/>
    <m/>
    <m/>
    <n v="0"/>
    <n v="675000"/>
    <n v="675000"/>
    <m/>
    <m/>
    <m/>
    <m/>
    <m/>
    <m/>
    <x v="2"/>
  </r>
  <r>
    <x v="0"/>
    <x v="3"/>
    <x v="185"/>
    <x v="1"/>
    <n v="62534.98"/>
    <n v="930023.57999999949"/>
    <n v="715169"/>
    <n v="1707727.5599999996"/>
    <m/>
    <n v="1707727.5599999996"/>
    <m/>
    <m/>
    <m/>
    <m/>
    <m/>
    <m/>
    <x v="4"/>
  </r>
  <r>
    <x v="0"/>
    <x v="3"/>
    <x v="186"/>
    <x v="1"/>
    <n v="138699.65999999997"/>
    <n v="376815.31"/>
    <m/>
    <n v="515514.97"/>
    <m/>
    <n v="515514.97"/>
    <m/>
    <m/>
    <m/>
    <m/>
    <m/>
    <m/>
    <x v="2"/>
  </r>
  <r>
    <x v="0"/>
    <x v="3"/>
    <x v="187"/>
    <x v="1"/>
    <n v="184806.66000000009"/>
    <n v="-39368.930000000008"/>
    <m/>
    <n v="145437.7300000001"/>
    <m/>
    <n v="145437.7300000001"/>
    <m/>
    <m/>
    <m/>
    <m/>
    <m/>
    <m/>
    <x v="2"/>
  </r>
  <r>
    <x v="0"/>
    <x v="3"/>
    <x v="188"/>
    <x v="1"/>
    <m/>
    <n v="21353.700000000004"/>
    <m/>
    <n v="21353.700000000004"/>
    <m/>
    <n v="21353.700000000004"/>
    <m/>
    <m/>
    <m/>
    <m/>
    <m/>
    <m/>
    <x v="2"/>
  </r>
  <r>
    <x v="0"/>
    <x v="3"/>
    <x v="189"/>
    <x v="1"/>
    <n v="1303.0999999999985"/>
    <n v="-25000"/>
    <m/>
    <n v="-23696.9"/>
    <m/>
    <n v="-23696.9"/>
    <m/>
    <m/>
    <m/>
    <m/>
    <m/>
    <m/>
    <x v="2"/>
  </r>
  <r>
    <x v="0"/>
    <x v="3"/>
    <x v="190"/>
    <x v="1"/>
    <n v="29515.31"/>
    <m/>
    <m/>
    <n v="29515.31"/>
    <m/>
    <n v="29515.31"/>
    <m/>
    <m/>
    <m/>
    <m/>
    <m/>
    <m/>
    <x v="2"/>
  </r>
  <r>
    <x v="0"/>
    <x v="3"/>
    <x v="191"/>
    <x v="1"/>
    <m/>
    <n v="59396.659999999989"/>
    <m/>
    <n v="59396.659999999989"/>
    <m/>
    <n v="59396.659999999989"/>
    <m/>
    <m/>
    <m/>
    <m/>
    <m/>
    <m/>
    <x v="2"/>
  </r>
  <r>
    <x v="0"/>
    <x v="3"/>
    <x v="192"/>
    <x v="1"/>
    <n v="213953.78999999998"/>
    <m/>
    <m/>
    <n v="213953.78999999998"/>
    <m/>
    <n v="213953.78999999998"/>
    <m/>
    <m/>
    <m/>
    <m/>
    <m/>
    <m/>
    <x v="2"/>
  </r>
  <r>
    <x v="0"/>
    <x v="3"/>
    <x v="193"/>
    <x v="1"/>
    <n v="467833.2"/>
    <n v="1907567.9800000009"/>
    <m/>
    <n v="2375401.1800000011"/>
    <m/>
    <n v="2375401.1800000011"/>
    <m/>
    <m/>
    <m/>
    <m/>
    <m/>
    <m/>
    <x v="2"/>
  </r>
  <r>
    <x v="0"/>
    <x v="3"/>
    <x v="194"/>
    <x v="1"/>
    <m/>
    <m/>
    <n v="800000"/>
    <n v="800000"/>
    <m/>
    <n v="800000"/>
    <m/>
    <m/>
    <m/>
    <m/>
    <m/>
    <m/>
    <x v="2"/>
  </r>
  <r>
    <x v="0"/>
    <x v="3"/>
    <x v="195"/>
    <x v="1"/>
    <m/>
    <n v="24664.22"/>
    <m/>
    <n v="24664.22"/>
    <n v="25000"/>
    <n v="49664.22"/>
    <m/>
    <m/>
    <m/>
    <m/>
    <m/>
    <m/>
    <x v="2"/>
  </r>
  <r>
    <x v="0"/>
    <x v="3"/>
    <x v="196"/>
    <x v="1"/>
    <m/>
    <n v="464505.28"/>
    <n v="1365662"/>
    <n v="1830167.28"/>
    <m/>
    <n v="1830167.28"/>
    <m/>
    <m/>
    <m/>
    <m/>
    <m/>
    <m/>
    <x v="2"/>
  </r>
  <r>
    <x v="0"/>
    <x v="3"/>
    <x v="197"/>
    <x v="1"/>
    <n v="-32022.149999999987"/>
    <m/>
    <m/>
    <n v="-32022.149999999987"/>
    <m/>
    <n v="-32022.149999999987"/>
    <m/>
    <m/>
    <m/>
    <m/>
    <m/>
    <m/>
    <x v="2"/>
  </r>
  <r>
    <x v="0"/>
    <x v="3"/>
    <x v="198"/>
    <x v="1"/>
    <n v="-18814.07"/>
    <n v="-15737.01"/>
    <m/>
    <n v="-34551.08"/>
    <m/>
    <n v="-34551.08"/>
    <m/>
    <m/>
    <m/>
    <m/>
    <m/>
    <m/>
    <x v="3"/>
  </r>
  <r>
    <x v="0"/>
    <x v="3"/>
    <x v="199"/>
    <x v="1"/>
    <n v="-183232.65000000014"/>
    <n v="-206213"/>
    <m/>
    <n v="-389445.65000000014"/>
    <m/>
    <n v="-389445.65000000014"/>
    <m/>
    <m/>
    <m/>
    <m/>
    <m/>
    <m/>
    <x v="3"/>
  </r>
  <r>
    <x v="0"/>
    <x v="3"/>
    <x v="200"/>
    <x v="1"/>
    <n v="2946335.810000001"/>
    <n v="1353753.1899999997"/>
    <m/>
    <n v="4300089.0000000009"/>
    <m/>
    <n v="4300089.0000000009"/>
    <m/>
    <m/>
    <m/>
    <m/>
    <m/>
    <m/>
    <x v="3"/>
  </r>
  <r>
    <x v="0"/>
    <x v="3"/>
    <x v="201"/>
    <x v="1"/>
    <m/>
    <n v="3158923.7400000007"/>
    <m/>
    <n v="3158923.7400000007"/>
    <m/>
    <n v="3158923.7400000007"/>
    <m/>
    <m/>
    <m/>
    <m/>
    <m/>
    <m/>
    <x v="3"/>
  </r>
  <r>
    <x v="0"/>
    <x v="3"/>
    <x v="202"/>
    <x v="1"/>
    <m/>
    <m/>
    <n v="1700000"/>
    <n v="1700000"/>
    <m/>
    <n v="1700000"/>
    <m/>
    <m/>
    <m/>
    <m/>
    <m/>
    <m/>
    <x v="3"/>
  </r>
  <r>
    <x v="0"/>
    <x v="3"/>
    <x v="203"/>
    <x v="1"/>
    <n v="63050.470000000008"/>
    <m/>
    <m/>
    <n v="63050.470000000008"/>
    <m/>
    <n v="63050.470000000008"/>
    <m/>
    <m/>
    <m/>
    <m/>
    <m/>
    <m/>
    <x v="3"/>
  </r>
  <r>
    <x v="0"/>
    <x v="3"/>
    <x v="204"/>
    <x v="1"/>
    <m/>
    <n v="605941.84999999986"/>
    <m/>
    <n v="605941.84999999986"/>
    <m/>
    <n v="605941.84999999986"/>
    <m/>
    <m/>
    <m/>
    <m/>
    <m/>
    <m/>
    <x v="2"/>
  </r>
  <r>
    <x v="0"/>
    <x v="3"/>
    <x v="205"/>
    <x v="1"/>
    <m/>
    <m/>
    <m/>
    <n v="0"/>
    <n v="500000"/>
    <n v="500000"/>
    <m/>
    <m/>
    <m/>
    <m/>
    <m/>
    <m/>
    <x v="2"/>
  </r>
  <r>
    <x v="0"/>
    <x v="3"/>
    <x v="206"/>
    <x v="1"/>
    <n v="1950756.1199999996"/>
    <n v="79024.7"/>
    <m/>
    <n v="2029780.8199999996"/>
    <m/>
    <n v="2029780.8199999996"/>
    <m/>
    <m/>
    <m/>
    <m/>
    <m/>
    <m/>
    <x v="2"/>
  </r>
  <r>
    <x v="0"/>
    <x v="3"/>
    <x v="207"/>
    <x v="1"/>
    <m/>
    <m/>
    <m/>
    <n v="0"/>
    <n v="250000"/>
    <n v="250000"/>
    <m/>
    <m/>
    <m/>
    <m/>
    <m/>
    <m/>
    <x v="2"/>
  </r>
  <r>
    <x v="0"/>
    <x v="3"/>
    <x v="208"/>
    <x v="1"/>
    <n v="15929.339999999998"/>
    <n v="74657.36"/>
    <m/>
    <n v="90586.7"/>
    <n v="354951.95999999996"/>
    <n v="445538.66"/>
    <m/>
    <m/>
    <m/>
    <m/>
    <m/>
    <m/>
    <x v="2"/>
  </r>
  <r>
    <x v="0"/>
    <x v="3"/>
    <x v="209"/>
    <x v="1"/>
    <n v="136104.75999999998"/>
    <n v="211287.35000000003"/>
    <m/>
    <n v="347392.11"/>
    <m/>
    <n v="347392.11"/>
    <m/>
    <m/>
    <m/>
    <m/>
    <m/>
    <m/>
    <x v="2"/>
  </r>
  <r>
    <x v="0"/>
    <x v="3"/>
    <x v="210"/>
    <x v="1"/>
    <m/>
    <n v="46983.130000000005"/>
    <m/>
    <n v="46983.130000000005"/>
    <m/>
    <n v="46983.130000000005"/>
    <m/>
    <m/>
    <m/>
    <m/>
    <m/>
    <m/>
    <x v="4"/>
  </r>
  <r>
    <x v="0"/>
    <x v="3"/>
    <x v="211"/>
    <x v="3"/>
    <n v="888707.45000000007"/>
    <n v="2711052.4"/>
    <m/>
    <n v="3599759.85"/>
    <m/>
    <n v="3599759.85"/>
    <m/>
    <m/>
    <m/>
    <m/>
    <m/>
    <m/>
    <x v="7"/>
  </r>
  <r>
    <x v="0"/>
    <x v="3"/>
    <x v="212"/>
    <x v="3"/>
    <m/>
    <n v="343954.31"/>
    <m/>
    <n v="343954.31"/>
    <m/>
    <n v="343954.31"/>
    <m/>
    <m/>
    <m/>
    <m/>
    <m/>
    <m/>
    <x v="7"/>
  </r>
  <r>
    <x v="0"/>
    <x v="3"/>
    <x v="213"/>
    <x v="1"/>
    <n v="96415.250000000058"/>
    <n v="1816541.4699999995"/>
    <m/>
    <n v="1912956.7199999995"/>
    <m/>
    <n v="1912956.7199999995"/>
    <m/>
    <m/>
    <m/>
    <m/>
    <m/>
    <m/>
    <x v="2"/>
  </r>
  <r>
    <x v="0"/>
    <x v="3"/>
    <x v="214"/>
    <x v="1"/>
    <n v="1256978.5899999996"/>
    <n v="1549664.4300000002"/>
    <m/>
    <n v="2806643.0199999996"/>
    <m/>
    <n v="2806643.0199999996"/>
    <m/>
    <m/>
    <m/>
    <m/>
    <m/>
    <m/>
    <x v="2"/>
  </r>
  <r>
    <x v="0"/>
    <x v="3"/>
    <x v="215"/>
    <x v="3"/>
    <n v="14079.080000000002"/>
    <n v="298577.07"/>
    <m/>
    <n v="312656.15000000002"/>
    <m/>
    <n v="312656.15000000002"/>
    <m/>
    <m/>
    <m/>
    <m/>
    <m/>
    <m/>
    <x v="7"/>
  </r>
  <r>
    <x v="0"/>
    <x v="3"/>
    <x v="216"/>
    <x v="1"/>
    <m/>
    <n v="249055.81"/>
    <n v="165000"/>
    <n v="414055.81"/>
    <m/>
    <n v="414055.81"/>
    <m/>
    <m/>
    <m/>
    <m/>
    <m/>
    <m/>
    <x v="2"/>
  </r>
  <r>
    <x v="0"/>
    <x v="3"/>
    <x v="217"/>
    <x v="1"/>
    <m/>
    <m/>
    <n v="200000"/>
    <n v="200000"/>
    <m/>
    <n v="200000"/>
    <m/>
    <m/>
    <m/>
    <m/>
    <m/>
    <m/>
    <x v="2"/>
  </r>
  <r>
    <x v="0"/>
    <x v="3"/>
    <x v="218"/>
    <x v="1"/>
    <n v="2.1800000000000002"/>
    <m/>
    <m/>
    <n v="2.1800000000000002"/>
    <m/>
    <n v="2.1800000000000002"/>
    <m/>
    <m/>
    <m/>
    <m/>
    <m/>
    <m/>
    <x v="2"/>
  </r>
  <r>
    <x v="0"/>
    <x v="3"/>
    <x v="219"/>
    <x v="1"/>
    <n v="42498.810000000005"/>
    <m/>
    <m/>
    <n v="42498.810000000005"/>
    <m/>
    <n v="42498.810000000005"/>
    <m/>
    <m/>
    <m/>
    <m/>
    <m/>
    <m/>
    <x v="2"/>
  </r>
  <r>
    <x v="0"/>
    <x v="3"/>
    <x v="220"/>
    <x v="1"/>
    <m/>
    <n v="299085.98"/>
    <n v="95000"/>
    <n v="394085.98"/>
    <n v="900000"/>
    <n v="1294085.98"/>
    <m/>
    <m/>
    <m/>
    <m/>
    <m/>
    <m/>
    <x v="2"/>
  </r>
  <r>
    <x v="0"/>
    <x v="3"/>
    <x v="221"/>
    <x v="1"/>
    <n v="-14636.19000000001"/>
    <m/>
    <m/>
    <n v="-14636.19000000001"/>
    <m/>
    <n v="-14636.19000000001"/>
    <m/>
    <m/>
    <m/>
    <m/>
    <m/>
    <m/>
    <x v="4"/>
  </r>
  <r>
    <x v="0"/>
    <x v="3"/>
    <x v="222"/>
    <x v="1"/>
    <n v="35351.130000000005"/>
    <n v="55857.340000000011"/>
    <m/>
    <n v="91208.470000000016"/>
    <n v="1933489.2"/>
    <n v="2024697.67"/>
    <m/>
    <m/>
    <m/>
    <m/>
    <m/>
    <m/>
    <x v="2"/>
  </r>
  <r>
    <x v="0"/>
    <x v="3"/>
    <x v="223"/>
    <x v="1"/>
    <n v="-31233.74"/>
    <n v="89406.34"/>
    <m/>
    <n v="58172.599999999991"/>
    <m/>
    <n v="58172.599999999991"/>
    <m/>
    <m/>
    <m/>
    <m/>
    <m/>
    <m/>
    <x v="4"/>
  </r>
  <r>
    <x v="0"/>
    <x v="3"/>
    <x v="224"/>
    <x v="1"/>
    <m/>
    <m/>
    <m/>
    <n v="0"/>
    <n v="100000"/>
    <n v="100000"/>
    <m/>
    <m/>
    <m/>
    <m/>
    <m/>
    <m/>
    <x v="2"/>
  </r>
  <r>
    <x v="0"/>
    <x v="3"/>
    <x v="225"/>
    <x v="1"/>
    <n v="93627.93"/>
    <n v="281594.71000000008"/>
    <m/>
    <n v="375222.64000000007"/>
    <m/>
    <n v="375222.64000000007"/>
    <m/>
    <m/>
    <m/>
    <m/>
    <m/>
    <m/>
    <x v="2"/>
  </r>
  <r>
    <x v="0"/>
    <x v="3"/>
    <x v="226"/>
    <x v="1"/>
    <n v="88611.630000000019"/>
    <n v="281623.17999999993"/>
    <m/>
    <n v="370234.80999999994"/>
    <m/>
    <n v="370234.80999999994"/>
    <m/>
    <m/>
    <m/>
    <m/>
    <m/>
    <m/>
    <x v="2"/>
  </r>
  <r>
    <x v="0"/>
    <x v="3"/>
    <x v="227"/>
    <x v="1"/>
    <n v="117501.63000000003"/>
    <n v="248324.6700000001"/>
    <m/>
    <n v="365826.30000000016"/>
    <m/>
    <n v="365826.30000000016"/>
    <m/>
    <m/>
    <m/>
    <m/>
    <m/>
    <m/>
    <x v="2"/>
  </r>
  <r>
    <x v="0"/>
    <x v="3"/>
    <x v="228"/>
    <x v="1"/>
    <n v="86374.67"/>
    <n v="296811.03000000003"/>
    <m/>
    <n v="383185.7"/>
    <m/>
    <n v="383185.7"/>
    <m/>
    <m/>
    <m/>
    <m/>
    <m/>
    <m/>
    <x v="2"/>
  </r>
  <r>
    <x v="0"/>
    <x v="3"/>
    <x v="229"/>
    <x v="3"/>
    <n v="-110622.36000000003"/>
    <n v="-347554"/>
    <m/>
    <n v="-458176.36000000004"/>
    <m/>
    <n v="-458176.36000000004"/>
    <m/>
    <m/>
    <m/>
    <m/>
    <m/>
    <m/>
    <x v="7"/>
  </r>
  <r>
    <x v="0"/>
    <x v="3"/>
    <x v="230"/>
    <x v="1"/>
    <m/>
    <n v="-12691.54"/>
    <m/>
    <n v="-12691.54"/>
    <m/>
    <n v="-12691.54"/>
    <m/>
    <m/>
    <m/>
    <m/>
    <m/>
    <m/>
    <x v="5"/>
  </r>
  <r>
    <x v="0"/>
    <x v="3"/>
    <x v="231"/>
    <x v="1"/>
    <m/>
    <n v="427001.65"/>
    <m/>
    <n v="427001.65"/>
    <m/>
    <n v="427001.65"/>
    <m/>
    <m/>
    <m/>
    <m/>
    <m/>
    <m/>
    <x v="4"/>
  </r>
  <r>
    <x v="0"/>
    <x v="3"/>
    <x v="232"/>
    <x v="1"/>
    <m/>
    <n v="426130.47000000003"/>
    <n v="150000"/>
    <n v="576130.47"/>
    <m/>
    <n v="576130.47"/>
    <m/>
    <m/>
    <m/>
    <m/>
    <m/>
    <m/>
    <x v="2"/>
  </r>
  <r>
    <x v="0"/>
    <x v="3"/>
    <x v="233"/>
    <x v="1"/>
    <n v="141940.25"/>
    <m/>
    <m/>
    <n v="141940.25"/>
    <m/>
    <n v="141940.25"/>
    <m/>
    <m/>
    <m/>
    <m/>
    <m/>
    <m/>
    <x v="3"/>
  </r>
  <r>
    <x v="0"/>
    <x v="3"/>
    <x v="234"/>
    <x v="1"/>
    <m/>
    <n v="1187904.06"/>
    <n v="827413"/>
    <n v="2015317.06"/>
    <m/>
    <n v="2015317.06"/>
    <m/>
    <m/>
    <m/>
    <m/>
    <m/>
    <m/>
    <x v="4"/>
  </r>
  <r>
    <x v="0"/>
    <x v="3"/>
    <x v="235"/>
    <x v="3"/>
    <n v="8151363.2699999996"/>
    <n v="13959348.689999992"/>
    <n v="4692338"/>
    <n v="26803049.959999993"/>
    <m/>
    <n v="26803049.959999993"/>
    <m/>
    <m/>
    <m/>
    <m/>
    <m/>
    <m/>
    <x v="7"/>
  </r>
  <r>
    <x v="0"/>
    <x v="3"/>
    <x v="236"/>
    <x v="1"/>
    <n v="1195.3600000000033"/>
    <n v="46386.070000000007"/>
    <m/>
    <n v="47581.430000000008"/>
    <m/>
    <n v="47581.430000000008"/>
    <m/>
    <m/>
    <m/>
    <m/>
    <m/>
    <m/>
    <x v="4"/>
  </r>
  <r>
    <x v="0"/>
    <x v="3"/>
    <x v="237"/>
    <x v="1"/>
    <m/>
    <n v="-99.78"/>
    <m/>
    <n v="-99.78"/>
    <m/>
    <n v="-99.78"/>
    <m/>
    <m/>
    <m/>
    <m/>
    <m/>
    <m/>
    <x v="4"/>
  </r>
  <r>
    <x v="0"/>
    <x v="3"/>
    <x v="238"/>
    <x v="1"/>
    <m/>
    <m/>
    <n v="381164.00000000006"/>
    <n v="381164.00000000006"/>
    <m/>
    <n v="381164.00000000006"/>
    <m/>
    <m/>
    <m/>
    <m/>
    <m/>
    <m/>
    <x v="4"/>
  </r>
  <r>
    <x v="0"/>
    <x v="3"/>
    <x v="239"/>
    <x v="1"/>
    <n v="1112585.8600000001"/>
    <n v="0"/>
    <m/>
    <n v="1112585.8600000001"/>
    <m/>
    <n v="1112585.8600000001"/>
    <m/>
    <m/>
    <m/>
    <m/>
    <m/>
    <m/>
    <x v="4"/>
  </r>
  <r>
    <x v="0"/>
    <x v="3"/>
    <x v="240"/>
    <x v="1"/>
    <m/>
    <n v="31475.75"/>
    <n v="187500"/>
    <n v="218975.75"/>
    <m/>
    <n v="218975.75"/>
    <m/>
    <m/>
    <m/>
    <m/>
    <m/>
    <m/>
    <x v="4"/>
  </r>
  <r>
    <x v="0"/>
    <x v="3"/>
    <x v="241"/>
    <x v="1"/>
    <n v="34886.03"/>
    <m/>
    <m/>
    <n v="34886.03"/>
    <m/>
    <n v="34886.03"/>
    <m/>
    <m/>
    <m/>
    <m/>
    <m/>
    <m/>
    <x v="4"/>
  </r>
  <r>
    <x v="0"/>
    <x v="3"/>
    <x v="242"/>
    <x v="1"/>
    <m/>
    <m/>
    <m/>
    <n v="0"/>
    <n v="540000"/>
    <n v="540000"/>
    <m/>
    <m/>
    <m/>
    <m/>
    <m/>
    <m/>
    <x v="4"/>
  </r>
  <r>
    <x v="0"/>
    <x v="3"/>
    <x v="243"/>
    <x v="1"/>
    <n v="8346.4500000000116"/>
    <m/>
    <m/>
    <n v="8346.4500000000116"/>
    <m/>
    <n v="8346.4500000000116"/>
    <m/>
    <m/>
    <m/>
    <m/>
    <m/>
    <m/>
    <x v="4"/>
  </r>
  <r>
    <x v="0"/>
    <x v="3"/>
    <x v="244"/>
    <x v="1"/>
    <n v="213623.28"/>
    <n v="624.65999999999985"/>
    <m/>
    <n v="214247.94"/>
    <m/>
    <n v="214247.94"/>
    <m/>
    <m/>
    <m/>
    <m/>
    <m/>
    <m/>
    <x v="3"/>
  </r>
  <r>
    <x v="0"/>
    <x v="3"/>
    <x v="245"/>
    <x v="1"/>
    <n v="3432389.9400000018"/>
    <n v="270885.24000000028"/>
    <m/>
    <n v="3703275.180000002"/>
    <n v="6715887.4800000004"/>
    <n v="10419162.660000002"/>
    <m/>
    <m/>
    <m/>
    <m/>
    <m/>
    <m/>
    <x v="3"/>
  </r>
  <r>
    <x v="0"/>
    <x v="3"/>
    <x v="246"/>
    <x v="1"/>
    <m/>
    <n v="2657759.5499999993"/>
    <m/>
    <n v="2657759.5499999993"/>
    <m/>
    <n v="2657759.5499999993"/>
    <m/>
    <m/>
    <m/>
    <m/>
    <m/>
    <m/>
    <x v="3"/>
  </r>
  <r>
    <x v="0"/>
    <x v="3"/>
    <x v="247"/>
    <x v="1"/>
    <n v="-27641.22"/>
    <m/>
    <m/>
    <n v="-27641.22"/>
    <m/>
    <n v="-27641.22"/>
    <m/>
    <m/>
    <m/>
    <m/>
    <m/>
    <m/>
    <x v="3"/>
  </r>
  <r>
    <x v="0"/>
    <x v="3"/>
    <x v="248"/>
    <x v="1"/>
    <m/>
    <m/>
    <n v="1000000"/>
    <n v="1000000"/>
    <m/>
    <n v="1000000"/>
    <m/>
    <m/>
    <m/>
    <m/>
    <m/>
    <m/>
    <x v="3"/>
  </r>
  <r>
    <x v="0"/>
    <x v="3"/>
    <x v="249"/>
    <x v="1"/>
    <m/>
    <m/>
    <m/>
    <n v="0"/>
    <n v="400000"/>
    <n v="400000"/>
    <m/>
    <m/>
    <m/>
    <m/>
    <m/>
    <m/>
    <x v="4"/>
  </r>
  <r>
    <x v="0"/>
    <x v="3"/>
    <x v="250"/>
    <x v="1"/>
    <n v="683150.8600000001"/>
    <m/>
    <m/>
    <n v="683150.8600000001"/>
    <m/>
    <n v="683150.8600000001"/>
    <m/>
    <m/>
    <m/>
    <m/>
    <m/>
    <m/>
    <x v="4"/>
  </r>
  <r>
    <x v="0"/>
    <x v="3"/>
    <x v="251"/>
    <x v="1"/>
    <m/>
    <n v="580353.05000000005"/>
    <n v="119947"/>
    <n v="700300.05"/>
    <m/>
    <n v="700300.05"/>
    <m/>
    <m/>
    <m/>
    <m/>
    <m/>
    <m/>
    <x v="4"/>
  </r>
  <r>
    <x v="0"/>
    <x v="3"/>
    <x v="252"/>
    <x v="1"/>
    <m/>
    <m/>
    <m/>
    <n v="0"/>
    <n v="300000"/>
    <n v="300000"/>
    <m/>
    <m/>
    <m/>
    <m/>
    <m/>
    <m/>
    <x v="2"/>
  </r>
  <r>
    <x v="0"/>
    <x v="3"/>
    <x v="253"/>
    <x v="1"/>
    <m/>
    <m/>
    <n v="100000"/>
    <n v="100000"/>
    <m/>
    <n v="100000"/>
    <m/>
    <m/>
    <m/>
    <m/>
    <m/>
    <m/>
    <x v="4"/>
  </r>
  <r>
    <x v="0"/>
    <x v="3"/>
    <x v="254"/>
    <x v="1"/>
    <m/>
    <n v="260712.62"/>
    <n v="239287.38"/>
    <n v="500000"/>
    <m/>
    <n v="500000"/>
    <m/>
    <m/>
    <m/>
    <m/>
    <m/>
    <m/>
    <x v="4"/>
  </r>
  <r>
    <x v="0"/>
    <x v="3"/>
    <x v="255"/>
    <x v="1"/>
    <m/>
    <n v="1035605.43"/>
    <n v="910374"/>
    <n v="1945979.4300000002"/>
    <m/>
    <n v="1945979.4300000002"/>
    <m/>
    <m/>
    <m/>
    <m/>
    <m/>
    <m/>
    <x v="4"/>
  </r>
  <r>
    <x v="0"/>
    <x v="3"/>
    <x v="256"/>
    <x v="1"/>
    <m/>
    <n v="290778.03999999998"/>
    <n v="59222"/>
    <n v="350000.04"/>
    <m/>
    <n v="350000.04"/>
    <m/>
    <m/>
    <m/>
    <m/>
    <m/>
    <m/>
    <x v="2"/>
  </r>
  <r>
    <x v="0"/>
    <x v="3"/>
    <x v="257"/>
    <x v="3"/>
    <n v="4769.57"/>
    <m/>
    <m/>
    <n v="4769.57"/>
    <m/>
    <n v="4769.57"/>
    <m/>
    <m/>
    <m/>
    <m/>
    <m/>
    <m/>
    <x v="7"/>
  </r>
  <r>
    <x v="0"/>
    <x v="3"/>
    <x v="258"/>
    <x v="3"/>
    <n v="17513.02"/>
    <n v="107345.88"/>
    <n v="651871"/>
    <n v="776729.9"/>
    <m/>
    <n v="776729.9"/>
    <m/>
    <m/>
    <m/>
    <m/>
    <m/>
    <m/>
    <x v="7"/>
  </r>
  <r>
    <x v="0"/>
    <x v="3"/>
    <x v="259"/>
    <x v="1"/>
    <n v="-302580.76"/>
    <m/>
    <m/>
    <n v="-302580.76"/>
    <m/>
    <n v="-302580.76"/>
    <m/>
    <m/>
    <m/>
    <m/>
    <m/>
    <m/>
    <x v="4"/>
  </r>
  <r>
    <x v="0"/>
    <x v="3"/>
    <x v="260"/>
    <x v="1"/>
    <n v="-25221.53"/>
    <m/>
    <m/>
    <n v="-25221.53"/>
    <m/>
    <n v="-25221.53"/>
    <m/>
    <m/>
    <m/>
    <m/>
    <m/>
    <m/>
    <x v="3"/>
  </r>
  <r>
    <x v="0"/>
    <x v="3"/>
    <x v="261"/>
    <x v="1"/>
    <n v="-20304.179999999993"/>
    <m/>
    <m/>
    <n v="-20304.179999999993"/>
    <m/>
    <n v="-20304.179999999993"/>
    <m/>
    <m/>
    <m/>
    <m/>
    <m/>
    <m/>
    <x v="3"/>
  </r>
  <r>
    <x v="0"/>
    <x v="3"/>
    <x v="262"/>
    <x v="1"/>
    <n v="255563.07"/>
    <n v="-135993.12"/>
    <m/>
    <n v="119569.95000000001"/>
    <m/>
    <n v="119569.95000000001"/>
    <m/>
    <m/>
    <m/>
    <m/>
    <m/>
    <m/>
    <x v="3"/>
  </r>
  <r>
    <x v="0"/>
    <x v="3"/>
    <x v="263"/>
    <x v="1"/>
    <m/>
    <n v="43090"/>
    <m/>
    <n v="43090"/>
    <m/>
    <n v="43090"/>
    <m/>
    <m/>
    <m/>
    <m/>
    <m/>
    <m/>
    <x v="3"/>
  </r>
  <r>
    <x v="0"/>
    <x v="3"/>
    <x v="264"/>
    <x v="1"/>
    <m/>
    <m/>
    <n v="300000"/>
    <n v="300000"/>
    <m/>
    <n v="300000"/>
    <m/>
    <m/>
    <m/>
    <m/>
    <m/>
    <m/>
    <x v="3"/>
  </r>
  <r>
    <x v="0"/>
    <x v="3"/>
    <x v="265"/>
    <x v="1"/>
    <n v="1964.07"/>
    <m/>
    <m/>
    <n v="1964.07"/>
    <m/>
    <n v="1964.07"/>
    <m/>
    <m/>
    <m/>
    <m/>
    <m/>
    <m/>
    <x v="4"/>
  </r>
  <r>
    <x v="0"/>
    <x v="3"/>
    <x v="266"/>
    <x v="1"/>
    <n v="2185137.1400000006"/>
    <n v="4305419.84"/>
    <n v="5249004"/>
    <n v="11739560.98"/>
    <n v="5773904.4000000004"/>
    <n v="17513465.380000003"/>
    <m/>
    <m/>
    <m/>
    <m/>
    <m/>
    <m/>
    <x v="2"/>
  </r>
  <r>
    <x v="0"/>
    <x v="3"/>
    <x v="267"/>
    <x v="1"/>
    <m/>
    <n v="122057.09999999998"/>
    <n v="248385"/>
    <n v="370442.1"/>
    <n v="1000000"/>
    <n v="1370442.1"/>
    <m/>
    <m/>
    <m/>
    <m/>
    <m/>
    <m/>
    <x v="2"/>
  </r>
  <r>
    <x v="0"/>
    <x v="3"/>
    <x v="268"/>
    <x v="3"/>
    <n v="616766.84"/>
    <n v="-113552.63999999998"/>
    <m/>
    <n v="503214.19999999995"/>
    <m/>
    <n v="503214.19999999995"/>
    <m/>
    <m/>
    <m/>
    <m/>
    <m/>
    <m/>
    <x v="7"/>
  </r>
  <r>
    <x v="0"/>
    <x v="3"/>
    <x v="269"/>
    <x v="1"/>
    <n v="624382.87"/>
    <n v="300891.88999999996"/>
    <m/>
    <n v="925274.76"/>
    <m/>
    <n v="925274.76"/>
    <m/>
    <m/>
    <m/>
    <m/>
    <m/>
    <m/>
    <x v="2"/>
  </r>
  <r>
    <x v="0"/>
    <x v="3"/>
    <x v="270"/>
    <x v="1"/>
    <m/>
    <n v="513887.8000000001"/>
    <m/>
    <n v="513887.8000000001"/>
    <m/>
    <n v="513887.8000000001"/>
    <m/>
    <m/>
    <m/>
    <m/>
    <m/>
    <m/>
    <x v="3"/>
  </r>
  <r>
    <x v="0"/>
    <x v="3"/>
    <x v="271"/>
    <x v="1"/>
    <n v="176071.53"/>
    <n v="5641.9000000000015"/>
    <m/>
    <n v="181713.43"/>
    <m/>
    <n v="181713.43"/>
    <m/>
    <m/>
    <m/>
    <m/>
    <m/>
    <m/>
    <x v="3"/>
  </r>
  <r>
    <x v="0"/>
    <x v="3"/>
    <x v="272"/>
    <x v="1"/>
    <m/>
    <m/>
    <n v="350000"/>
    <n v="350000"/>
    <m/>
    <n v="350000"/>
    <m/>
    <m/>
    <m/>
    <m/>
    <m/>
    <m/>
    <x v="3"/>
  </r>
  <r>
    <x v="0"/>
    <x v="3"/>
    <x v="273"/>
    <x v="1"/>
    <m/>
    <m/>
    <n v="50000"/>
    <n v="50000"/>
    <n v="400000"/>
    <n v="450000"/>
    <m/>
    <m/>
    <m/>
    <m/>
    <m/>
    <m/>
    <x v="2"/>
  </r>
  <r>
    <x v="0"/>
    <x v="3"/>
    <x v="274"/>
    <x v="1"/>
    <m/>
    <n v="205383.80000000002"/>
    <m/>
    <n v="205383.80000000002"/>
    <m/>
    <n v="205383.80000000002"/>
    <m/>
    <m/>
    <m/>
    <m/>
    <m/>
    <m/>
    <x v="3"/>
  </r>
  <r>
    <x v="0"/>
    <x v="3"/>
    <x v="275"/>
    <x v="1"/>
    <n v="35769.599999999999"/>
    <n v="-35769.599999999999"/>
    <m/>
    <n v="0"/>
    <m/>
    <n v="0"/>
    <m/>
    <m/>
    <m/>
    <m/>
    <m/>
    <m/>
    <x v="3"/>
  </r>
  <r>
    <x v="0"/>
    <x v="3"/>
    <x v="276"/>
    <x v="1"/>
    <m/>
    <m/>
    <n v="350000"/>
    <n v="350000"/>
    <m/>
    <n v="350000"/>
    <m/>
    <m/>
    <m/>
    <m/>
    <m/>
    <m/>
    <x v="3"/>
  </r>
  <r>
    <x v="0"/>
    <x v="3"/>
    <x v="277"/>
    <x v="1"/>
    <m/>
    <n v="26618.66"/>
    <n v="10000"/>
    <n v="36618.660000000003"/>
    <m/>
    <n v="36618.660000000003"/>
    <m/>
    <m/>
    <m/>
    <m/>
    <m/>
    <m/>
    <x v="2"/>
  </r>
  <r>
    <x v="0"/>
    <x v="3"/>
    <x v="278"/>
    <x v="1"/>
    <m/>
    <n v="118489.64"/>
    <m/>
    <n v="118489.64"/>
    <m/>
    <n v="118489.64"/>
    <m/>
    <m/>
    <m/>
    <m/>
    <m/>
    <m/>
    <x v="3"/>
  </r>
  <r>
    <x v="0"/>
    <x v="3"/>
    <x v="279"/>
    <x v="1"/>
    <m/>
    <m/>
    <n v="350000"/>
    <n v="350000"/>
    <m/>
    <n v="350000"/>
    <m/>
    <m/>
    <m/>
    <m/>
    <m/>
    <m/>
    <x v="3"/>
  </r>
  <r>
    <x v="0"/>
    <x v="3"/>
    <x v="280"/>
    <x v="3"/>
    <n v="-2630773.2799999998"/>
    <m/>
    <m/>
    <n v="-2630773.2799999998"/>
    <m/>
    <n v="-2630773.2799999998"/>
    <m/>
    <m/>
    <m/>
    <m/>
    <m/>
    <m/>
    <x v="7"/>
  </r>
  <r>
    <x v="0"/>
    <x v="3"/>
    <x v="281"/>
    <x v="3"/>
    <n v="19891.409999999996"/>
    <m/>
    <m/>
    <n v="19891.409999999996"/>
    <m/>
    <n v="19891.409999999996"/>
    <m/>
    <m/>
    <m/>
    <m/>
    <m/>
    <m/>
    <x v="7"/>
  </r>
  <r>
    <x v="0"/>
    <x v="3"/>
    <x v="282"/>
    <x v="1"/>
    <n v="190259.64"/>
    <n v="505016.0900000002"/>
    <m/>
    <n v="695275.73000000021"/>
    <m/>
    <n v="695275.73000000021"/>
    <m/>
    <m/>
    <m/>
    <m/>
    <m/>
    <m/>
    <x v="2"/>
  </r>
  <r>
    <x v="0"/>
    <x v="3"/>
    <x v="283"/>
    <x v="1"/>
    <m/>
    <n v="95002.880000000005"/>
    <m/>
    <n v="95002.880000000005"/>
    <n v="769963.00000000012"/>
    <n v="864965.88000000012"/>
    <m/>
    <m/>
    <m/>
    <m/>
    <m/>
    <m/>
    <x v="4"/>
  </r>
  <r>
    <x v="0"/>
    <x v="3"/>
    <x v="284"/>
    <x v="1"/>
    <n v="9027.01"/>
    <n v="430383.49"/>
    <n v="13978"/>
    <n v="453388.5"/>
    <m/>
    <n v="453388.5"/>
    <m/>
    <m/>
    <m/>
    <m/>
    <m/>
    <m/>
    <x v="5"/>
  </r>
  <r>
    <x v="0"/>
    <x v="3"/>
    <x v="285"/>
    <x v="1"/>
    <m/>
    <n v="1379.73"/>
    <m/>
    <n v="1379.73"/>
    <m/>
    <n v="1379.73"/>
    <m/>
    <m/>
    <m/>
    <m/>
    <m/>
    <m/>
    <x v="4"/>
  </r>
  <r>
    <x v="0"/>
    <x v="3"/>
    <x v="286"/>
    <x v="1"/>
    <n v="-17655.480000000003"/>
    <m/>
    <m/>
    <n v="-17655.480000000003"/>
    <m/>
    <n v="-17655.480000000003"/>
    <m/>
    <m/>
    <m/>
    <m/>
    <m/>
    <m/>
    <x v="4"/>
  </r>
  <r>
    <x v="0"/>
    <x v="3"/>
    <x v="287"/>
    <x v="1"/>
    <n v="154210.65999999997"/>
    <n v="276455.8"/>
    <m/>
    <n v="430666.45999999996"/>
    <m/>
    <n v="430666.45999999996"/>
    <m/>
    <m/>
    <m/>
    <m/>
    <m/>
    <m/>
    <x v="2"/>
  </r>
  <r>
    <x v="0"/>
    <x v="3"/>
    <x v="288"/>
    <x v="1"/>
    <n v="487350.38999999996"/>
    <n v="18193.25"/>
    <m/>
    <n v="505543.63999999996"/>
    <m/>
    <n v="505543.63999999996"/>
    <m/>
    <m/>
    <m/>
    <m/>
    <m/>
    <m/>
    <x v="2"/>
  </r>
  <r>
    <x v="0"/>
    <x v="3"/>
    <x v="289"/>
    <x v="1"/>
    <n v="38540.080000000002"/>
    <n v="418951.16999999993"/>
    <m/>
    <n v="457491.24999999994"/>
    <m/>
    <n v="457491.24999999994"/>
    <m/>
    <m/>
    <m/>
    <m/>
    <m/>
    <m/>
    <x v="2"/>
  </r>
  <r>
    <x v="0"/>
    <x v="3"/>
    <x v="290"/>
    <x v="1"/>
    <n v="85730.6"/>
    <n v="1100"/>
    <m/>
    <n v="86830.6"/>
    <m/>
    <n v="86830.6"/>
    <m/>
    <m/>
    <m/>
    <m/>
    <m/>
    <m/>
    <x v="4"/>
  </r>
  <r>
    <x v="0"/>
    <x v="3"/>
    <x v="291"/>
    <x v="1"/>
    <n v="-230.59000000000015"/>
    <n v="230.59"/>
    <m/>
    <n v="0"/>
    <m/>
    <n v="0"/>
    <m/>
    <m/>
    <m/>
    <m/>
    <m/>
    <m/>
    <x v="3"/>
  </r>
  <r>
    <x v="0"/>
    <x v="3"/>
    <x v="292"/>
    <x v="1"/>
    <n v="235649.04999999993"/>
    <n v="-4112.3900000000003"/>
    <m/>
    <n v="231536.65999999992"/>
    <m/>
    <n v="231536.65999999992"/>
    <m/>
    <m/>
    <m/>
    <m/>
    <m/>
    <m/>
    <x v="3"/>
  </r>
  <r>
    <x v="0"/>
    <x v="3"/>
    <x v="293"/>
    <x v="1"/>
    <n v="1243829.8400000001"/>
    <n v="515140.54000000004"/>
    <m/>
    <n v="1758970.3800000001"/>
    <m/>
    <n v="1758970.3800000001"/>
    <m/>
    <m/>
    <m/>
    <m/>
    <m/>
    <m/>
    <x v="3"/>
  </r>
  <r>
    <x v="0"/>
    <x v="3"/>
    <x v="294"/>
    <x v="1"/>
    <m/>
    <n v="3448037.39"/>
    <m/>
    <n v="3448037.39"/>
    <m/>
    <n v="3448037.39"/>
    <m/>
    <m/>
    <m/>
    <m/>
    <m/>
    <m/>
    <x v="3"/>
  </r>
  <r>
    <x v="0"/>
    <x v="3"/>
    <x v="295"/>
    <x v="1"/>
    <m/>
    <m/>
    <n v="1000000"/>
    <n v="1000000"/>
    <m/>
    <n v="1000000"/>
    <m/>
    <m/>
    <m/>
    <m/>
    <m/>
    <m/>
    <x v="3"/>
  </r>
  <r>
    <x v="0"/>
    <x v="3"/>
    <x v="296"/>
    <x v="1"/>
    <m/>
    <n v="-14564.06"/>
    <m/>
    <n v="-14564.06"/>
    <m/>
    <n v="-14564.06"/>
    <m/>
    <m/>
    <m/>
    <m/>
    <m/>
    <m/>
    <x v="4"/>
  </r>
  <r>
    <x v="0"/>
    <x v="3"/>
    <x v="297"/>
    <x v="1"/>
    <m/>
    <m/>
    <n v="950000"/>
    <n v="950000"/>
    <m/>
    <n v="950000"/>
    <m/>
    <m/>
    <m/>
    <m/>
    <m/>
    <m/>
    <x v="2"/>
  </r>
  <r>
    <x v="0"/>
    <x v="3"/>
    <x v="298"/>
    <x v="1"/>
    <n v="25931.169999999995"/>
    <m/>
    <m/>
    <n v="25931.169999999995"/>
    <m/>
    <n v="25931.169999999995"/>
    <m/>
    <m/>
    <m/>
    <m/>
    <m/>
    <m/>
    <x v="4"/>
  </r>
  <r>
    <x v="0"/>
    <x v="3"/>
    <x v="299"/>
    <x v="1"/>
    <n v="9027.01"/>
    <n v="79406"/>
    <m/>
    <n v="88433.01"/>
    <n v="157389.96"/>
    <n v="245822.96999999997"/>
    <m/>
    <m/>
    <m/>
    <m/>
    <m/>
    <m/>
    <x v="4"/>
  </r>
  <r>
    <x v="0"/>
    <x v="3"/>
    <x v="300"/>
    <x v="1"/>
    <m/>
    <n v="-46855.24"/>
    <m/>
    <n v="-46855.24"/>
    <m/>
    <n v="-46855.24"/>
    <m/>
    <m/>
    <m/>
    <m/>
    <m/>
    <m/>
    <x v="4"/>
  </r>
  <r>
    <x v="0"/>
    <x v="3"/>
    <x v="301"/>
    <x v="1"/>
    <m/>
    <n v="1189673.57"/>
    <m/>
    <n v="1189673.57"/>
    <m/>
    <n v="1189673.57"/>
    <m/>
    <m/>
    <m/>
    <m/>
    <m/>
    <m/>
    <x v="4"/>
  </r>
  <r>
    <x v="0"/>
    <x v="3"/>
    <x v="302"/>
    <x v="1"/>
    <m/>
    <m/>
    <m/>
    <n v="0"/>
    <n v="25000"/>
    <n v="25000"/>
    <m/>
    <m/>
    <m/>
    <m/>
    <m/>
    <m/>
    <x v="4"/>
  </r>
  <r>
    <x v="0"/>
    <x v="3"/>
    <x v="303"/>
    <x v="1"/>
    <m/>
    <m/>
    <n v="950000"/>
    <n v="950000"/>
    <n v="364064.04000000004"/>
    <n v="1314064.04"/>
    <m/>
    <m/>
    <m/>
    <m/>
    <m/>
    <m/>
    <x v="5"/>
  </r>
  <r>
    <x v="0"/>
    <x v="3"/>
    <x v="304"/>
    <x v="1"/>
    <m/>
    <n v="254131.91"/>
    <n v="774980.42"/>
    <n v="1029112.3300000001"/>
    <m/>
    <n v="1029112.3300000001"/>
    <m/>
    <m/>
    <m/>
    <m/>
    <m/>
    <m/>
    <x v="4"/>
  </r>
  <r>
    <x v="0"/>
    <x v="3"/>
    <x v="305"/>
    <x v="1"/>
    <m/>
    <n v="607227.63"/>
    <m/>
    <n v="607227.63"/>
    <n v="1000000"/>
    <n v="1607227.63"/>
    <m/>
    <m/>
    <m/>
    <m/>
    <m/>
    <m/>
    <x v="4"/>
  </r>
  <r>
    <x v="0"/>
    <x v="3"/>
    <x v="306"/>
    <x v="1"/>
    <m/>
    <n v="36347.269999999997"/>
    <n v="10000"/>
    <n v="46347.27"/>
    <m/>
    <n v="46347.27"/>
    <m/>
    <m/>
    <m/>
    <m/>
    <m/>
    <m/>
    <x v="2"/>
  </r>
  <r>
    <x v="0"/>
    <x v="3"/>
    <x v="307"/>
    <x v="1"/>
    <m/>
    <n v="1627320.99"/>
    <n v="-124380"/>
    <n v="1502940.99"/>
    <m/>
    <n v="1502940.99"/>
    <m/>
    <m/>
    <m/>
    <m/>
    <m/>
    <m/>
    <x v="2"/>
  </r>
  <r>
    <x v="0"/>
    <x v="3"/>
    <x v="308"/>
    <x v="1"/>
    <n v="2553.33"/>
    <n v="4007.4700000000003"/>
    <n v="85544"/>
    <n v="92104.8"/>
    <m/>
    <n v="92104.8"/>
    <m/>
    <m/>
    <m/>
    <m/>
    <m/>
    <m/>
    <x v="2"/>
  </r>
  <r>
    <x v="0"/>
    <x v="3"/>
    <x v="309"/>
    <x v="1"/>
    <n v="3525325.4999999995"/>
    <n v="-121945.5"/>
    <m/>
    <n v="3403379.9999999995"/>
    <m/>
    <n v="3403379.9999999995"/>
    <m/>
    <m/>
    <m/>
    <m/>
    <m/>
    <m/>
    <x v="2"/>
  </r>
  <r>
    <x v="0"/>
    <x v="4"/>
    <x v="310"/>
    <x v="1"/>
    <n v="192.06"/>
    <m/>
    <m/>
    <n v="192.06"/>
    <m/>
    <n v="192.06"/>
    <m/>
    <m/>
    <m/>
    <m/>
    <m/>
    <m/>
    <x v="8"/>
  </r>
  <r>
    <x v="0"/>
    <x v="5"/>
    <x v="311"/>
    <x v="1"/>
    <n v="1058933.43"/>
    <n v="290911.18000000005"/>
    <m/>
    <n v="1349844.6099999999"/>
    <m/>
    <n v="1349844.6099999999"/>
    <m/>
    <m/>
    <m/>
    <m/>
    <m/>
    <m/>
    <x v="8"/>
  </r>
  <r>
    <x v="0"/>
    <x v="5"/>
    <x v="312"/>
    <x v="1"/>
    <n v="373865.31"/>
    <n v="-361196.76"/>
    <n v="100000"/>
    <n v="112668.54999999999"/>
    <n v="100000"/>
    <n v="212668.55"/>
    <m/>
    <m/>
    <m/>
    <m/>
    <m/>
    <m/>
    <x v="3"/>
  </r>
  <r>
    <x v="0"/>
    <x v="5"/>
    <x v="313"/>
    <x v="1"/>
    <m/>
    <n v="568442.51999999979"/>
    <n v="250000"/>
    <n v="818442.51999999979"/>
    <m/>
    <n v="818442.51999999979"/>
    <m/>
    <m/>
    <m/>
    <m/>
    <m/>
    <m/>
    <x v="8"/>
  </r>
  <r>
    <x v="0"/>
    <x v="6"/>
    <x v="314"/>
    <x v="3"/>
    <n v="2865713.4799999995"/>
    <n v="7026016.2400000012"/>
    <n v="2476054"/>
    <n v="12367783.720000001"/>
    <n v="5170000"/>
    <n v="17537783.719999999"/>
    <m/>
    <m/>
    <m/>
    <m/>
    <m/>
    <m/>
    <x v="9"/>
  </r>
  <r>
    <x v="0"/>
    <x v="6"/>
    <x v="315"/>
    <x v="3"/>
    <n v="1443110.8900000001"/>
    <n v="7500252.5299999993"/>
    <n v="3331107"/>
    <n v="12274470.42"/>
    <n v="6199000"/>
    <n v="18473470.420000002"/>
    <m/>
    <m/>
    <m/>
    <m/>
    <m/>
    <m/>
    <x v="9"/>
  </r>
  <r>
    <x v="0"/>
    <x v="6"/>
    <x v="316"/>
    <x v="3"/>
    <n v="3991996.71"/>
    <n v="9497438.5000000019"/>
    <n v="4286776"/>
    <n v="17776211.210000001"/>
    <n v="6343600"/>
    <n v="24119811.210000001"/>
    <m/>
    <m/>
    <m/>
    <m/>
    <m/>
    <m/>
    <x v="9"/>
  </r>
  <r>
    <x v="0"/>
    <x v="6"/>
    <x v="317"/>
    <x v="3"/>
    <n v="3066890.95"/>
    <n v="18963684.210000001"/>
    <n v="13562392"/>
    <n v="35592967.159999996"/>
    <n v="15543333"/>
    <n v="51136300.159999996"/>
    <m/>
    <m/>
    <m/>
    <m/>
    <m/>
    <m/>
    <x v="9"/>
  </r>
  <r>
    <x v="0"/>
    <x v="6"/>
    <x v="318"/>
    <x v="1"/>
    <n v="190186.15000000002"/>
    <n v="124350.72"/>
    <n v="380000"/>
    <n v="694536.87"/>
    <n v="500000"/>
    <n v="1194536.8700000001"/>
    <m/>
    <m/>
    <m/>
    <m/>
    <m/>
    <m/>
    <x v="3"/>
  </r>
  <r>
    <x v="0"/>
    <x v="6"/>
    <x v="319"/>
    <x v="1"/>
    <n v="441408.28000000009"/>
    <n v="41303.919999999998"/>
    <m/>
    <n v="482712.20000000007"/>
    <m/>
    <n v="482712.20000000007"/>
    <m/>
    <m/>
    <m/>
    <m/>
    <m/>
    <m/>
    <x v="8"/>
  </r>
  <r>
    <x v="0"/>
    <x v="6"/>
    <x v="320"/>
    <x v="0"/>
    <n v="14961.780000000002"/>
    <n v="752832.89000000025"/>
    <n v="5376270"/>
    <n v="6144064.6699999999"/>
    <m/>
    <n v="6144064.6699999999"/>
    <n v="0"/>
    <n v="6144064.6699999999"/>
    <n v="0"/>
    <n v="0"/>
    <n v="0"/>
    <n v="0"/>
    <x v="10"/>
  </r>
  <r>
    <x v="0"/>
    <x v="6"/>
    <x v="321"/>
    <x v="1"/>
    <m/>
    <n v="503009.57000000007"/>
    <m/>
    <n v="503009.57000000007"/>
    <m/>
    <n v="503009.57000000007"/>
    <m/>
    <m/>
    <m/>
    <m/>
    <m/>
    <m/>
    <x v="5"/>
  </r>
  <r>
    <x v="0"/>
    <x v="6"/>
    <x v="322"/>
    <x v="1"/>
    <m/>
    <n v="95257.640000000014"/>
    <m/>
    <n v="95257.640000000014"/>
    <m/>
    <n v="95257.640000000014"/>
    <m/>
    <m/>
    <m/>
    <m/>
    <m/>
    <m/>
    <x v="8"/>
  </r>
  <r>
    <x v="0"/>
    <x v="6"/>
    <x v="323"/>
    <x v="0"/>
    <n v="7125473.6100000013"/>
    <n v="63409230.070000023"/>
    <n v="48542035.730000004"/>
    <n v="119076739.41000003"/>
    <n v="33470470.379999999"/>
    <n v="152547209.79000002"/>
    <n v="1983916"/>
    <n v="154531125.79000002"/>
    <n v="76792684"/>
    <n v="68906417"/>
    <n v="27623904"/>
    <n v="173323005"/>
    <x v="10"/>
  </r>
  <r>
    <x v="0"/>
    <x v="7"/>
    <x v="324"/>
    <x v="1"/>
    <n v="0"/>
    <m/>
    <m/>
    <n v="0"/>
    <m/>
    <n v="0"/>
    <m/>
    <m/>
    <m/>
    <m/>
    <m/>
    <m/>
    <x v="4"/>
  </r>
  <r>
    <x v="0"/>
    <x v="7"/>
    <x v="325"/>
    <x v="1"/>
    <n v="345152.72999999992"/>
    <m/>
    <m/>
    <n v="345152.72999999992"/>
    <m/>
    <n v="345152.72999999992"/>
    <m/>
    <m/>
    <m/>
    <m/>
    <m/>
    <m/>
    <x v="4"/>
  </r>
  <r>
    <x v="0"/>
    <x v="7"/>
    <x v="326"/>
    <x v="1"/>
    <n v="1.5631940186722204E-13"/>
    <m/>
    <m/>
    <n v="1.5631940186722204E-13"/>
    <m/>
    <n v="1.5631940186722204E-13"/>
    <m/>
    <m/>
    <m/>
    <m/>
    <m/>
    <m/>
    <x v="2"/>
  </r>
  <r>
    <x v="0"/>
    <x v="7"/>
    <x v="327"/>
    <x v="1"/>
    <n v="1261.07"/>
    <m/>
    <m/>
    <n v="1261.07"/>
    <m/>
    <n v="1261.07"/>
    <m/>
    <m/>
    <m/>
    <m/>
    <m/>
    <m/>
    <x v="2"/>
  </r>
  <r>
    <x v="0"/>
    <x v="7"/>
    <x v="328"/>
    <x v="1"/>
    <n v="-95339"/>
    <m/>
    <m/>
    <n v="-95339"/>
    <m/>
    <n v="-95339"/>
    <m/>
    <m/>
    <m/>
    <m/>
    <m/>
    <m/>
    <x v="4"/>
  </r>
  <r>
    <x v="0"/>
    <x v="7"/>
    <x v="329"/>
    <x v="1"/>
    <n v="-271897.12"/>
    <m/>
    <m/>
    <n v="-271897.12"/>
    <m/>
    <n v="-271897.12"/>
    <m/>
    <m/>
    <m/>
    <m/>
    <m/>
    <m/>
    <x v="4"/>
  </r>
  <r>
    <x v="0"/>
    <x v="7"/>
    <x v="330"/>
    <x v="1"/>
    <n v="-108137.87000000001"/>
    <n v="11821.309999999998"/>
    <m/>
    <n v="-96316.560000000012"/>
    <m/>
    <n v="-96316.560000000012"/>
    <m/>
    <m/>
    <m/>
    <m/>
    <m/>
    <m/>
    <x v="2"/>
  </r>
  <r>
    <x v="0"/>
    <x v="7"/>
    <x v="331"/>
    <x v="1"/>
    <m/>
    <n v="149988.10999999999"/>
    <n v="14447"/>
    <n v="164435.10999999999"/>
    <n v="471183.96"/>
    <n v="635619.07000000007"/>
    <m/>
    <m/>
    <m/>
    <m/>
    <m/>
    <m/>
    <x v="4"/>
  </r>
  <r>
    <x v="0"/>
    <x v="7"/>
    <x v="332"/>
    <x v="1"/>
    <n v="271907.85000000003"/>
    <n v="330652.90999999997"/>
    <m/>
    <n v="602560.76"/>
    <m/>
    <n v="602560.76"/>
    <m/>
    <m/>
    <m/>
    <m/>
    <m/>
    <m/>
    <x v="3"/>
  </r>
  <r>
    <x v="0"/>
    <x v="7"/>
    <x v="333"/>
    <x v="1"/>
    <m/>
    <n v="1112068.52"/>
    <m/>
    <n v="1112068.52"/>
    <m/>
    <n v="1112068.52"/>
    <m/>
    <m/>
    <m/>
    <m/>
    <m/>
    <m/>
    <x v="3"/>
  </r>
  <r>
    <x v="0"/>
    <x v="7"/>
    <x v="334"/>
    <x v="1"/>
    <m/>
    <m/>
    <n v="1500000"/>
    <n v="1500000"/>
    <m/>
    <n v="1500000"/>
    <m/>
    <m/>
    <m/>
    <m/>
    <m/>
    <m/>
    <x v="3"/>
  </r>
  <r>
    <x v="0"/>
    <x v="7"/>
    <x v="335"/>
    <x v="1"/>
    <m/>
    <m/>
    <m/>
    <n v="0"/>
    <n v="2000000.08"/>
    <n v="2000000.08"/>
    <m/>
    <m/>
    <m/>
    <m/>
    <m/>
    <m/>
    <x v="3"/>
  </r>
  <r>
    <x v="0"/>
    <x v="7"/>
    <x v="336"/>
    <x v="1"/>
    <m/>
    <n v="312574.21999999991"/>
    <n v="1927234"/>
    <n v="2239808.2199999997"/>
    <m/>
    <n v="2239808.2199999997"/>
    <m/>
    <m/>
    <m/>
    <m/>
    <m/>
    <m/>
    <x v="4"/>
  </r>
  <r>
    <x v="0"/>
    <x v="7"/>
    <x v="337"/>
    <x v="1"/>
    <m/>
    <n v="1119039.56"/>
    <n v="488108"/>
    <n v="1607147.56"/>
    <m/>
    <n v="1607147.56"/>
    <m/>
    <m/>
    <m/>
    <m/>
    <m/>
    <m/>
    <x v="5"/>
  </r>
  <r>
    <x v="0"/>
    <x v="7"/>
    <x v="338"/>
    <x v="1"/>
    <n v="20632.830000000002"/>
    <n v="0"/>
    <m/>
    <n v="20632.830000000002"/>
    <m/>
    <n v="20632.830000000002"/>
    <m/>
    <m/>
    <m/>
    <m/>
    <m/>
    <m/>
    <x v="2"/>
  </r>
  <r>
    <x v="0"/>
    <x v="7"/>
    <x v="339"/>
    <x v="1"/>
    <m/>
    <m/>
    <m/>
    <n v="0"/>
    <n v="750000"/>
    <n v="750000"/>
    <m/>
    <m/>
    <m/>
    <m/>
    <m/>
    <m/>
    <x v="4"/>
  </r>
  <r>
    <x v="0"/>
    <x v="7"/>
    <x v="340"/>
    <x v="1"/>
    <n v="4164.16"/>
    <n v="31628.38"/>
    <m/>
    <n v="35792.54"/>
    <m/>
    <n v="35792.54"/>
    <m/>
    <m/>
    <m/>
    <m/>
    <m/>
    <m/>
    <x v="3"/>
  </r>
  <r>
    <x v="0"/>
    <x v="7"/>
    <x v="341"/>
    <x v="1"/>
    <n v="427075.16000000009"/>
    <n v="432068.07000000012"/>
    <m/>
    <n v="859143.23000000021"/>
    <m/>
    <n v="859143.23000000021"/>
    <m/>
    <m/>
    <m/>
    <m/>
    <m/>
    <m/>
    <x v="3"/>
  </r>
  <r>
    <x v="0"/>
    <x v="7"/>
    <x v="342"/>
    <x v="1"/>
    <m/>
    <n v="1953611.2600000009"/>
    <m/>
    <n v="1953611.2600000009"/>
    <m/>
    <n v="1953611.2600000009"/>
    <m/>
    <m/>
    <m/>
    <m/>
    <m/>
    <m/>
    <x v="3"/>
  </r>
  <r>
    <x v="0"/>
    <x v="7"/>
    <x v="343"/>
    <x v="1"/>
    <m/>
    <m/>
    <n v="1000000"/>
    <n v="1000000"/>
    <m/>
    <n v="1000000"/>
    <m/>
    <m/>
    <m/>
    <m/>
    <m/>
    <m/>
    <x v="3"/>
  </r>
  <r>
    <x v="0"/>
    <x v="7"/>
    <x v="344"/>
    <x v="1"/>
    <m/>
    <m/>
    <m/>
    <n v="0"/>
    <n v="999999.84"/>
    <n v="999999.84"/>
    <m/>
    <m/>
    <m/>
    <m/>
    <m/>
    <m/>
    <x v="3"/>
  </r>
  <r>
    <x v="0"/>
    <x v="7"/>
    <x v="345"/>
    <x v="1"/>
    <m/>
    <n v="855780.22"/>
    <m/>
    <n v="855780.22"/>
    <m/>
    <n v="855780.22"/>
    <m/>
    <m/>
    <m/>
    <m/>
    <m/>
    <m/>
    <x v="4"/>
  </r>
  <r>
    <x v="0"/>
    <x v="7"/>
    <x v="346"/>
    <x v="1"/>
    <m/>
    <n v="375715.98"/>
    <n v="627201.04"/>
    <n v="1002917.02"/>
    <m/>
    <n v="1002917.02"/>
    <m/>
    <m/>
    <m/>
    <m/>
    <m/>
    <m/>
    <x v="4"/>
  </r>
  <r>
    <x v="0"/>
    <x v="7"/>
    <x v="347"/>
    <x v="1"/>
    <m/>
    <n v="31323.15"/>
    <m/>
    <n v="31323.15"/>
    <m/>
    <n v="31323.15"/>
    <m/>
    <m/>
    <m/>
    <m/>
    <m/>
    <m/>
    <x v="4"/>
  </r>
  <r>
    <x v="0"/>
    <x v="7"/>
    <x v="348"/>
    <x v="1"/>
    <n v="9909.9700000000012"/>
    <n v="785737.70000000019"/>
    <m/>
    <n v="795647.67000000016"/>
    <m/>
    <n v="795647.67000000016"/>
    <m/>
    <m/>
    <m/>
    <m/>
    <m/>
    <m/>
    <x v="4"/>
  </r>
  <r>
    <x v="0"/>
    <x v="7"/>
    <x v="349"/>
    <x v="1"/>
    <m/>
    <m/>
    <m/>
    <n v="0"/>
    <n v="1000000"/>
    <n v="1000000"/>
    <m/>
    <m/>
    <m/>
    <m/>
    <m/>
    <m/>
    <x v="2"/>
  </r>
  <r>
    <x v="0"/>
    <x v="7"/>
    <x v="350"/>
    <x v="1"/>
    <m/>
    <m/>
    <m/>
    <n v="0"/>
    <n v="349998"/>
    <n v="349998"/>
    <m/>
    <m/>
    <m/>
    <m/>
    <m/>
    <m/>
    <x v="2"/>
  </r>
  <r>
    <x v="0"/>
    <x v="7"/>
    <x v="351"/>
    <x v="1"/>
    <n v="-491.80000000000007"/>
    <m/>
    <m/>
    <n v="-491.80000000000007"/>
    <m/>
    <n v="-491.80000000000007"/>
    <m/>
    <m/>
    <m/>
    <m/>
    <m/>
    <m/>
    <x v="2"/>
  </r>
  <r>
    <x v="0"/>
    <x v="7"/>
    <x v="352"/>
    <x v="1"/>
    <n v="3228922.4299999997"/>
    <n v="-314787.88999999996"/>
    <m/>
    <n v="2914134.5399999996"/>
    <m/>
    <n v="2914134.5399999996"/>
    <m/>
    <m/>
    <m/>
    <m/>
    <m/>
    <m/>
    <x v="2"/>
  </r>
  <r>
    <x v="0"/>
    <x v="7"/>
    <x v="353"/>
    <x v="1"/>
    <n v="0"/>
    <n v="-1315705.8899999997"/>
    <m/>
    <n v="-1315705.8899999997"/>
    <m/>
    <n v="-1315705.8899999997"/>
    <m/>
    <m/>
    <m/>
    <m/>
    <m/>
    <m/>
    <x v="2"/>
  </r>
  <r>
    <x v="0"/>
    <x v="7"/>
    <x v="354"/>
    <x v="1"/>
    <m/>
    <n v="107996.74000000002"/>
    <n v="277893"/>
    <n v="385889.74"/>
    <m/>
    <n v="385889.74"/>
    <m/>
    <m/>
    <m/>
    <m/>
    <m/>
    <m/>
    <x v="4"/>
  </r>
  <r>
    <x v="0"/>
    <x v="7"/>
    <x v="355"/>
    <x v="1"/>
    <m/>
    <m/>
    <m/>
    <n v="0"/>
    <n v="1000000"/>
    <n v="1000000"/>
    <m/>
    <m/>
    <m/>
    <m/>
    <m/>
    <m/>
    <x v="2"/>
  </r>
  <r>
    <x v="0"/>
    <x v="7"/>
    <x v="356"/>
    <x v="1"/>
    <m/>
    <m/>
    <m/>
    <n v="0"/>
    <n v="1000000"/>
    <n v="1000000"/>
    <m/>
    <m/>
    <m/>
    <m/>
    <m/>
    <m/>
    <x v="2"/>
  </r>
  <r>
    <x v="0"/>
    <x v="7"/>
    <x v="357"/>
    <x v="1"/>
    <m/>
    <n v="270190.01"/>
    <n v="31311"/>
    <n v="301501.01"/>
    <n v="264888"/>
    <n v="566389.01"/>
    <m/>
    <m/>
    <m/>
    <m/>
    <m/>
    <m/>
    <x v="2"/>
  </r>
  <r>
    <x v="0"/>
    <x v="7"/>
    <x v="358"/>
    <x v="1"/>
    <n v="9688.1500000000233"/>
    <m/>
    <m/>
    <n v="9688.1500000000233"/>
    <m/>
    <n v="9688.1500000000233"/>
    <m/>
    <m/>
    <m/>
    <m/>
    <m/>
    <m/>
    <x v="2"/>
  </r>
  <r>
    <x v="0"/>
    <x v="7"/>
    <x v="359"/>
    <x v="1"/>
    <m/>
    <n v="127236.98999999999"/>
    <n v="491282"/>
    <n v="618518.99"/>
    <n v="1625119"/>
    <n v="2243637.9900000002"/>
    <m/>
    <m/>
    <m/>
    <m/>
    <m/>
    <m/>
    <x v="2"/>
  </r>
  <r>
    <x v="0"/>
    <x v="7"/>
    <x v="360"/>
    <x v="1"/>
    <m/>
    <n v="800289.45"/>
    <m/>
    <n v="800289.45"/>
    <m/>
    <n v="800289.45"/>
    <m/>
    <m/>
    <m/>
    <m/>
    <m/>
    <m/>
    <x v="2"/>
  </r>
  <r>
    <x v="0"/>
    <x v="7"/>
    <x v="361"/>
    <x v="1"/>
    <n v="-42268.92"/>
    <n v="648659.2699999999"/>
    <m/>
    <n v="606390.34999999986"/>
    <n v="1000000"/>
    <n v="1606390.3499999999"/>
    <m/>
    <m/>
    <m/>
    <m/>
    <m/>
    <m/>
    <x v="4"/>
  </r>
  <r>
    <x v="0"/>
    <x v="7"/>
    <x v="362"/>
    <x v="1"/>
    <m/>
    <m/>
    <m/>
    <n v="0"/>
    <n v="1399999.97"/>
    <n v="1399999.97"/>
    <m/>
    <m/>
    <m/>
    <m/>
    <m/>
    <m/>
    <x v="2"/>
  </r>
  <r>
    <x v="0"/>
    <x v="7"/>
    <x v="363"/>
    <x v="1"/>
    <m/>
    <n v="2741982.92"/>
    <n v="700000"/>
    <n v="3441982.92"/>
    <m/>
    <n v="3441982.92"/>
    <m/>
    <m/>
    <m/>
    <m/>
    <m/>
    <m/>
    <x v="2"/>
  </r>
  <r>
    <x v="0"/>
    <x v="7"/>
    <x v="364"/>
    <x v="1"/>
    <m/>
    <m/>
    <m/>
    <n v="0"/>
    <n v="1000000"/>
    <n v="1000000"/>
    <m/>
    <m/>
    <m/>
    <m/>
    <m/>
    <m/>
    <x v="2"/>
  </r>
  <r>
    <x v="0"/>
    <x v="7"/>
    <x v="365"/>
    <x v="1"/>
    <m/>
    <m/>
    <m/>
    <n v="0"/>
    <n v="400000"/>
    <n v="400000"/>
    <m/>
    <m/>
    <m/>
    <m/>
    <m/>
    <m/>
    <x v="2"/>
  </r>
  <r>
    <x v="0"/>
    <x v="7"/>
    <x v="366"/>
    <x v="1"/>
    <n v="7740.0499999999993"/>
    <m/>
    <m/>
    <n v="7740.0499999999993"/>
    <m/>
    <n v="7740.0499999999993"/>
    <m/>
    <m/>
    <m/>
    <m/>
    <m/>
    <m/>
    <x v="2"/>
  </r>
  <r>
    <x v="0"/>
    <x v="7"/>
    <x v="367"/>
    <x v="1"/>
    <m/>
    <m/>
    <m/>
    <n v="0"/>
    <n v="1200000"/>
    <n v="1200000"/>
    <m/>
    <m/>
    <m/>
    <m/>
    <m/>
    <m/>
    <x v="2"/>
  </r>
  <r>
    <x v="0"/>
    <x v="7"/>
    <x v="368"/>
    <x v="1"/>
    <m/>
    <n v="127583.72"/>
    <n v="575621"/>
    <n v="703204.72"/>
    <n v="1611013"/>
    <n v="2314217.7199999997"/>
    <m/>
    <m/>
    <m/>
    <m/>
    <m/>
    <m/>
    <x v="2"/>
  </r>
  <r>
    <x v="0"/>
    <x v="7"/>
    <x v="369"/>
    <x v="1"/>
    <m/>
    <m/>
    <m/>
    <n v="0"/>
    <n v="500000"/>
    <n v="500000"/>
    <m/>
    <m/>
    <m/>
    <m/>
    <m/>
    <m/>
    <x v="2"/>
  </r>
  <r>
    <x v="0"/>
    <x v="7"/>
    <x v="370"/>
    <x v="1"/>
    <m/>
    <m/>
    <m/>
    <n v="0"/>
    <n v="400000"/>
    <n v="400000"/>
    <m/>
    <m/>
    <m/>
    <m/>
    <m/>
    <m/>
    <x v="2"/>
  </r>
  <r>
    <x v="0"/>
    <x v="7"/>
    <x v="371"/>
    <x v="1"/>
    <m/>
    <n v="-32454.13"/>
    <m/>
    <n v="-32454.13"/>
    <m/>
    <n v="-32454.13"/>
    <m/>
    <m/>
    <m/>
    <m/>
    <m/>
    <m/>
    <x v="2"/>
  </r>
  <r>
    <x v="0"/>
    <x v="7"/>
    <x v="372"/>
    <x v="1"/>
    <m/>
    <m/>
    <m/>
    <n v="0"/>
    <n v="300000"/>
    <n v="300000"/>
    <m/>
    <m/>
    <m/>
    <m/>
    <m/>
    <m/>
    <x v="2"/>
  </r>
  <r>
    <x v="0"/>
    <x v="7"/>
    <x v="373"/>
    <x v="1"/>
    <n v="62156.429999999993"/>
    <n v="22000.189999999995"/>
    <n v="100000"/>
    <n v="184156.62"/>
    <n v="100000"/>
    <n v="284156.62"/>
    <m/>
    <m/>
    <m/>
    <m/>
    <m/>
    <m/>
    <x v="8"/>
  </r>
  <r>
    <x v="0"/>
    <x v="7"/>
    <x v="374"/>
    <x v="1"/>
    <m/>
    <n v="349994.41"/>
    <n v="1030197"/>
    <n v="1380191.41"/>
    <m/>
    <n v="1380191.41"/>
    <m/>
    <m/>
    <m/>
    <m/>
    <m/>
    <m/>
    <x v="4"/>
  </r>
  <r>
    <x v="0"/>
    <x v="7"/>
    <x v="375"/>
    <x v="1"/>
    <n v="114034.96000000002"/>
    <m/>
    <m/>
    <n v="114034.96000000002"/>
    <m/>
    <n v="114034.96000000002"/>
    <m/>
    <m/>
    <m/>
    <m/>
    <m/>
    <m/>
    <x v="3"/>
  </r>
  <r>
    <x v="0"/>
    <x v="7"/>
    <x v="376"/>
    <x v="1"/>
    <m/>
    <m/>
    <n v="250000.00000000003"/>
    <n v="250000.00000000003"/>
    <m/>
    <n v="250000.00000000003"/>
    <m/>
    <m/>
    <m/>
    <m/>
    <m/>
    <m/>
    <x v="3"/>
  </r>
  <r>
    <x v="0"/>
    <x v="7"/>
    <x v="377"/>
    <x v="1"/>
    <m/>
    <m/>
    <m/>
    <n v="0"/>
    <n v="500000.16"/>
    <n v="500000.16"/>
    <m/>
    <m/>
    <m/>
    <m/>
    <m/>
    <m/>
    <x v="3"/>
  </r>
  <r>
    <x v="0"/>
    <x v="7"/>
    <x v="378"/>
    <x v="1"/>
    <n v="453093.04"/>
    <n v="0"/>
    <m/>
    <n v="453093.04"/>
    <m/>
    <n v="453093.04"/>
    <m/>
    <m/>
    <m/>
    <m/>
    <m/>
    <m/>
    <x v="4"/>
  </r>
  <r>
    <x v="0"/>
    <x v="7"/>
    <x v="379"/>
    <x v="1"/>
    <n v="-130065.93999999987"/>
    <n v="-624787.5"/>
    <m/>
    <n v="-754853.43999999983"/>
    <m/>
    <n v="-754853.43999999983"/>
    <m/>
    <m/>
    <m/>
    <m/>
    <m/>
    <m/>
    <x v="4"/>
  </r>
  <r>
    <x v="0"/>
    <x v="7"/>
    <x v="380"/>
    <x v="1"/>
    <n v="82480.48000000001"/>
    <n v="29331.05"/>
    <m/>
    <n v="111811.53000000001"/>
    <n v="150000"/>
    <n v="261811.53000000003"/>
    <m/>
    <m/>
    <m/>
    <m/>
    <m/>
    <m/>
    <x v="4"/>
  </r>
  <r>
    <x v="0"/>
    <x v="7"/>
    <x v="381"/>
    <x v="1"/>
    <m/>
    <n v="78587.470000000016"/>
    <n v="399999.96"/>
    <n v="478587.43000000005"/>
    <n v="671413.08000000007"/>
    <n v="1150000.5100000002"/>
    <m/>
    <m/>
    <m/>
    <m/>
    <m/>
    <m/>
    <x v="4"/>
  </r>
  <r>
    <x v="0"/>
    <x v="7"/>
    <x v="382"/>
    <x v="1"/>
    <m/>
    <m/>
    <m/>
    <n v="0"/>
    <n v="400000"/>
    <n v="400000"/>
    <m/>
    <m/>
    <m/>
    <m/>
    <m/>
    <m/>
    <x v="2"/>
  </r>
  <r>
    <x v="0"/>
    <x v="7"/>
    <x v="383"/>
    <x v="1"/>
    <n v="9909.98"/>
    <m/>
    <m/>
    <n v="9909.98"/>
    <m/>
    <n v="9909.98"/>
    <m/>
    <m/>
    <m/>
    <m/>
    <m/>
    <m/>
    <x v="4"/>
  </r>
  <r>
    <x v="0"/>
    <x v="7"/>
    <x v="384"/>
    <x v="1"/>
    <n v="419186"/>
    <n v="201496.82"/>
    <m/>
    <n v="620682.82000000007"/>
    <m/>
    <n v="620682.82000000007"/>
    <m/>
    <m/>
    <m/>
    <m/>
    <m/>
    <m/>
    <x v="4"/>
  </r>
  <r>
    <x v="0"/>
    <x v="7"/>
    <x v="385"/>
    <x v="1"/>
    <m/>
    <n v="33873.919999999998"/>
    <m/>
    <n v="33873.919999999998"/>
    <n v="199999.99"/>
    <n v="233873.90999999997"/>
    <m/>
    <m/>
    <m/>
    <m/>
    <m/>
    <m/>
    <x v="4"/>
  </r>
  <r>
    <x v="0"/>
    <x v="7"/>
    <x v="386"/>
    <x v="1"/>
    <n v="87808.19"/>
    <n v="1875.26"/>
    <m/>
    <n v="89683.45"/>
    <m/>
    <n v="89683.45"/>
    <m/>
    <m/>
    <m/>
    <m/>
    <m/>
    <m/>
    <x v="3"/>
  </r>
  <r>
    <x v="0"/>
    <x v="7"/>
    <x v="387"/>
    <x v="1"/>
    <n v="65956.89"/>
    <n v="2757.38"/>
    <m/>
    <n v="68714.27"/>
    <m/>
    <n v="68714.27"/>
    <m/>
    <m/>
    <m/>
    <m/>
    <m/>
    <m/>
    <x v="3"/>
  </r>
  <r>
    <x v="0"/>
    <x v="7"/>
    <x v="388"/>
    <x v="1"/>
    <m/>
    <n v="377832.90000000008"/>
    <m/>
    <n v="377832.90000000008"/>
    <m/>
    <n v="377832.90000000008"/>
    <m/>
    <m/>
    <m/>
    <m/>
    <m/>
    <m/>
    <x v="3"/>
  </r>
  <r>
    <x v="0"/>
    <x v="7"/>
    <x v="389"/>
    <x v="1"/>
    <m/>
    <m/>
    <n v="250000.00000000003"/>
    <n v="250000.00000000003"/>
    <m/>
    <n v="250000.00000000003"/>
    <m/>
    <m/>
    <m/>
    <m/>
    <m/>
    <m/>
    <x v="3"/>
  </r>
  <r>
    <x v="0"/>
    <x v="7"/>
    <x v="390"/>
    <x v="1"/>
    <m/>
    <m/>
    <m/>
    <n v="0"/>
    <n v="500000.16"/>
    <n v="500000.16"/>
    <m/>
    <m/>
    <m/>
    <m/>
    <m/>
    <m/>
    <x v="3"/>
  </r>
  <r>
    <x v="0"/>
    <x v="7"/>
    <x v="391"/>
    <x v="1"/>
    <m/>
    <n v="137157.57"/>
    <m/>
    <n v="137157.57"/>
    <m/>
    <n v="137157.57"/>
    <m/>
    <m/>
    <m/>
    <m/>
    <m/>
    <m/>
    <x v="4"/>
  </r>
  <r>
    <x v="0"/>
    <x v="7"/>
    <x v="392"/>
    <x v="1"/>
    <n v="-15133.22"/>
    <m/>
    <m/>
    <n v="-15133.22"/>
    <m/>
    <n v="-15133.22"/>
    <m/>
    <m/>
    <m/>
    <m/>
    <m/>
    <m/>
    <x v="4"/>
  </r>
  <r>
    <x v="0"/>
    <x v="7"/>
    <x v="393"/>
    <x v="1"/>
    <m/>
    <n v="138233.32"/>
    <m/>
    <n v="138233.32"/>
    <m/>
    <n v="138233.32"/>
    <m/>
    <m/>
    <m/>
    <m/>
    <m/>
    <m/>
    <x v="4"/>
  </r>
  <r>
    <x v="0"/>
    <x v="7"/>
    <x v="394"/>
    <x v="1"/>
    <m/>
    <n v="138771.19999999998"/>
    <m/>
    <n v="138771.19999999998"/>
    <m/>
    <n v="138771.19999999998"/>
    <m/>
    <m/>
    <m/>
    <m/>
    <m/>
    <m/>
    <x v="4"/>
  </r>
  <r>
    <x v="0"/>
    <x v="7"/>
    <x v="395"/>
    <x v="1"/>
    <n v="-24723.99"/>
    <m/>
    <m/>
    <n v="-24723.99"/>
    <m/>
    <n v="-24723.99"/>
    <m/>
    <m/>
    <m/>
    <m/>
    <m/>
    <m/>
    <x v="4"/>
  </r>
  <r>
    <x v="0"/>
    <x v="7"/>
    <x v="396"/>
    <x v="1"/>
    <m/>
    <m/>
    <m/>
    <n v="0"/>
    <n v="2000000"/>
    <n v="2000000"/>
    <m/>
    <m/>
    <m/>
    <m/>
    <m/>
    <m/>
    <x v="4"/>
  </r>
  <r>
    <x v="0"/>
    <x v="7"/>
    <x v="397"/>
    <x v="1"/>
    <n v="16289.27"/>
    <m/>
    <m/>
    <n v="16289.27"/>
    <m/>
    <n v="16289.27"/>
    <m/>
    <m/>
    <m/>
    <m/>
    <m/>
    <m/>
    <x v="4"/>
  </r>
  <r>
    <x v="0"/>
    <x v="7"/>
    <x v="398"/>
    <x v="1"/>
    <n v="0"/>
    <m/>
    <m/>
    <n v="0"/>
    <m/>
    <n v="0"/>
    <m/>
    <m/>
    <m/>
    <m/>
    <m/>
    <m/>
    <x v="2"/>
  </r>
  <r>
    <x v="0"/>
    <x v="7"/>
    <x v="399"/>
    <x v="1"/>
    <m/>
    <m/>
    <n v="2500000"/>
    <n v="2500000"/>
    <n v="4600000"/>
    <n v="7100000"/>
    <m/>
    <m/>
    <m/>
    <m/>
    <m/>
    <m/>
    <x v="2"/>
  </r>
  <r>
    <x v="0"/>
    <x v="7"/>
    <x v="400"/>
    <x v="1"/>
    <m/>
    <n v="-2915.61"/>
    <m/>
    <n v="-2915.61"/>
    <m/>
    <n v="-2915.61"/>
    <m/>
    <m/>
    <m/>
    <m/>
    <m/>
    <m/>
    <x v="3"/>
  </r>
  <r>
    <x v="0"/>
    <x v="7"/>
    <x v="401"/>
    <x v="1"/>
    <n v="285100.13"/>
    <n v="160215.87000000002"/>
    <m/>
    <n v="445316"/>
    <m/>
    <n v="445316"/>
    <m/>
    <m/>
    <m/>
    <m/>
    <m/>
    <m/>
    <x v="3"/>
  </r>
  <r>
    <x v="0"/>
    <x v="7"/>
    <x v="402"/>
    <x v="1"/>
    <m/>
    <n v="178781.44"/>
    <m/>
    <n v="178781.44"/>
    <m/>
    <n v="178781.44"/>
    <m/>
    <m/>
    <m/>
    <m/>
    <m/>
    <m/>
    <x v="3"/>
  </r>
  <r>
    <x v="0"/>
    <x v="7"/>
    <x v="403"/>
    <x v="1"/>
    <m/>
    <m/>
    <n v="750000"/>
    <n v="750000"/>
    <m/>
    <n v="750000"/>
    <m/>
    <m/>
    <m/>
    <m/>
    <m/>
    <m/>
    <x v="3"/>
  </r>
  <r>
    <x v="0"/>
    <x v="7"/>
    <x v="404"/>
    <x v="1"/>
    <m/>
    <m/>
    <m/>
    <n v="0"/>
    <n v="500000.16"/>
    <n v="500000.16"/>
    <m/>
    <m/>
    <m/>
    <m/>
    <m/>
    <m/>
    <x v="3"/>
  </r>
  <r>
    <x v="0"/>
    <x v="7"/>
    <x v="405"/>
    <x v="1"/>
    <n v="37408.35"/>
    <n v="475.62"/>
    <m/>
    <n v="37883.97"/>
    <m/>
    <n v="37883.97"/>
    <m/>
    <m/>
    <m/>
    <m/>
    <m/>
    <m/>
    <x v="4"/>
  </r>
  <r>
    <x v="0"/>
    <x v="7"/>
    <x v="406"/>
    <x v="1"/>
    <n v="111831.30999999995"/>
    <n v="7311.91"/>
    <m/>
    <n v="119143.21999999996"/>
    <m/>
    <n v="119143.21999999996"/>
    <m/>
    <m/>
    <m/>
    <m/>
    <m/>
    <m/>
    <x v="4"/>
  </r>
  <r>
    <x v="0"/>
    <x v="7"/>
    <x v="407"/>
    <x v="1"/>
    <n v="500945.09000000014"/>
    <m/>
    <m/>
    <n v="500945.09000000014"/>
    <m/>
    <n v="500945.09000000014"/>
    <m/>
    <m/>
    <m/>
    <m/>
    <m/>
    <m/>
    <x v="4"/>
  </r>
  <r>
    <x v="0"/>
    <x v="7"/>
    <x v="408"/>
    <x v="1"/>
    <m/>
    <m/>
    <m/>
    <n v="0"/>
    <n v="10713631"/>
    <n v="10713631"/>
    <m/>
    <m/>
    <m/>
    <m/>
    <m/>
    <m/>
    <x v="4"/>
  </r>
  <r>
    <x v="0"/>
    <x v="7"/>
    <x v="409"/>
    <x v="1"/>
    <m/>
    <n v="1921.21"/>
    <m/>
    <n v="1921.21"/>
    <m/>
    <n v="1921.21"/>
    <m/>
    <m/>
    <m/>
    <m/>
    <m/>
    <m/>
    <x v="4"/>
  </r>
  <r>
    <x v="0"/>
    <x v="7"/>
    <x v="410"/>
    <x v="1"/>
    <n v="51856.61"/>
    <m/>
    <m/>
    <n v="51856.61"/>
    <m/>
    <n v="51856.61"/>
    <m/>
    <m/>
    <m/>
    <m/>
    <m/>
    <m/>
    <x v="4"/>
  </r>
  <r>
    <x v="0"/>
    <x v="7"/>
    <x v="411"/>
    <x v="1"/>
    <n v="-1997.88"/>
    <m/>
    <m/>
    <n v="-1997.88"/>
    <m/>
    <n v="-1997.88"/>
    <m/>
    <m/>
    <m/>
    <m/>
    <m/>
    <m/>
    <x v="4"/>
  </r>
  <r>
    <x v="0"/>
    <x v="7"/>
    <x v="412"/>
    <x v="1"/>
    <n v="-3038.41"/>
    <m/>
    <m/>
    <n v="-3038.41"/>
    <m/>
    <n v="-3038.41"/>
    <m/>
    <m/>
    <m/>
    <m/>
    <m/>
    <m/>
    <x v="4"/>
  </r>
  <r>
    <x v="0"/>
    <x v="7"/>
    <x v="413"/>
    <x v="1"/>
    <n v="71.59999999999998"/>
    <m/>
    <m/>
    <n v="71.59999999999998"/>
    <m/>
    <n v="71.59999999999998"/>
    <m/>
    <m/>
    <m/>
    <m/>
    <m/>
    <m/>
    <x v="3"/>
  </r>
  <r>
    <x v="0"/>
    <x v="7"/>
    <x v="414"/>
    <x v="1"/>
    <n v="76964.810000000012"/>
    <n v="40979.020000000004"/>
    <m/>
    <n v="117943.83000000002"/>
    <m/>
    <n v="117943.83000000002"/>
    <m/>
    <m/>
    <m/>
    <m/>
    <m/>
    <m/>
    <x v="3"/>
  </r>
  <r>
    <x v="0"/>
    <x v="7"/>
    <x v="415"/>
    <x v="1"/>
    <n v="548.84999999999991"/>
    <m/>
    <m/>
    <n v="548.84999999999991"/>
    <m/>
    <n v="548.84999999999991"/>
    <m/>
    <m/>
    <m/>
    <m/>
    <m/>
    <m/>
    <x v="4"/>
  </r>
  <r>
    <x v="0"/>
    <x v="7"/>
    <x v="416"/>
    <x v="1"/>
    <m/>
    <n v="-2418.67"/>
    <m/>
    <n v="-2418.67"/>
    <m/>
    <n v="-2418.67"/>
    <m/>
    <m/>
    <m/>
    <m/>
    <m/>
    <m/>
    <x v="4"/>
  </r>
  <r>
    <x v="0"/>
    <x v="7"/>
    <x v="417"/>
    <x v="1"/>
    <n v="-625.46000000000163"/>
    <n v="9240.18"/>
    <m/>
    <n v="8614.7199999999993"/>
    <m/>
    <n v="8614.7199999999993"/>
    <m/>
    <m/>
    <m/>
    <m/>
    <m/>
    <m/>
    <x v="4"/>
  </r>
  <r>
    <x v="0"/>
    <x v="7"/>
    <x v="418"/>
    <x v="1"/>
    <n v="2.1799999999883584"/>
    <m/>
    <m/>
    <n v="2.1799999999883584"/>
    <m/>
    <n v="2.1799999999883584"/>
    <m/>
    <m/>
    <m/>
    <m/>
    <m/>
    <m/>
    <x v="4"/>
  </r>
  <r>
    <x v="0"/>
    <x v="7"/>
    <x v="419"/>
    <x v="1"/>
    <n v="-50741.590000000004"/>
    <n v="10301.480000000001"/>
    <m/>
    <n v="-40440.11"/>
    <m/>
    <n v="-40440.11"/>
    <m/>
    <m/>
    <m/>
    <m/>
    <m/>
    <m/>
    <x v="4"/>
  </r>
  <r>
    <x v="0"/>
    <x v="7"/>
    <x v="420"/>
    <x v="1"/>
    <m/>
    <n v="-2768.01"/>
    <m/>
    <n v="-2768.01"/>
    <m/>
    <n v="-2768.01"/>
    <m/>
    <m/>
    <m/>
    <m/>
    <m/>
    <m/>
    <x v="4"/>
  </r>
  <r>
    <x v="0"/>
    <x v="7"/>
    <x v="421"/>
    <x v="1"/>
    <m/>
    <m/>
    <m/>
    <n v="0"/>
    <n v="1000000"/>
    <n v="1000000"/>
    <m/>
    <m/>
    <m/>
    <m/>
    <m/>
    <m/>
    <x v="2"/>
  </r>
  <r>
    <x v="0"/>
    <x v="7"/>
    <x v="422"/>
    <x v="1"/>
    <m/>
    <m/>
    <m/>
    <n v="0"/>
    <n v="1000000"/>
    <n v="1000000"/>
    <m/>
    <m/>
    <m/>
    <m/>
    <m/>
    <m/>
    <x v="2"/>
  </r>
  <r>
    <x v="0"/>
    <x v="7"/>
    <x v="423"/>
    <x v="0"/>
    <m/>
    <n v="13820808.930000002"/>
    <n v="24348195.620000001"/>
    <n v="38169004.550000004"/>
    <n v="39526861.709999993"/>
    <n v="77695866.25999999"/>
    <n v="0"/>
    <n v="77695866.25999999"/>
    <n v="49535276"/>
    <n v="30959547"/>
    <n v="0"/>
    <n v="80494823"/>
    <x v="11"/>
  </r>
  <r>
    <x v="0"/>
    <x v="7"/>
    <x v="424"/>
    <x v="1"/>
    <n v="1407880.38"/>
    <n v="718626.09000000008"/>
    <n v="1832316.05"/>
    <n v="3958822.5199999996"/>
    <n v="1067287.52"/>
    <n v="5026110.0399999991"/>
    <m/>
    <m/>
    <m/>
    <m/>
    <m/>
    <m/>
    <x v="2"/>
  </r>
  <r>
    <x v="0"/>
    <x v="7"/>
    <x v="425"/>
    <x v="1"/>
    <m/>
    <n v="159333"/>
    <n v="1029972"/>
    <n v="1189305"/>
    <m/>
    <n v="1189305"/>
    <m/>
    <m/>
    <m/>
    <m/>
    <m/>
    <m/>
    <x v="4"/>
  </r>
  <r>
    <x v="0"/>
    <x v="7"/>
    <x v="426"/>
    <x v="1"/>
    <n v="-37080.859999999993"/>
    <n v="862.5"/>
    <m/>
    <n v="-36218.359999999993"/>
    <m/>
    <n v="-36218.359999999993"/>
    <m/>
    <m/>
    <m/>
    <m/>
    <m/>
    <m/>
    <x v="3"/>
  </r>
  <r>
    <x v="0"/>
    <x v="7"/>
    <x v="427"/>
    <x v="1"/>
    <n v="1596486.1800000004"/>
    <n v="673307.11"/>
    <n v="1832316"/>
    <n v="4102109.2900000005"/>
    <n v="1067287.52"/>
    <n v="5169396.8100000005"/>
    <m/>
    <m/>
    <m/>
    <m/>
    <m/>
    <m/>
    <x v="4"/>
  </r>
  <r>
    <x v="0"/>
    <x v="7"/>
    <x v="428"/>
    <x v="1"/>
    <n v="1532999.1500000004"/>
    <n v="670186.25"/>
    <n v="1832316.05"/>
    <n v="4035501.45"/>
    <n v="1067287.52"/>
    <n v="5102788.9700000007"/>
    <m/>
    <m/>
    <m/>
    <m/>
    <m/>
    <m/>
    <x v="4"/>
  </r>
  <r>
    <x v="0"/>
    <x v="7"/>
    <x v="429"/>
    <x v="1"/>
    <n v="1504060.09"/>
    <n v="678395.39999999991"/>
    <n v="1832316.05"/>
    <n v="4014771.54"/>
    <n v="1067287.52"/>
    <n v="5082059.0600000005"/>
    <m/>
    <m/>
    <m/>
    <m/>
    <m/>
    <m/>
    <x v="4"/>
  </r>
  <r>
    <x v="0"/>
    <x v="7"/>
    <x v="430"/>
    <x v="1"/>
    <n v="-3147.8300000000004"/>
    <m/>
    <m/>
    <n v="-3147.8300000000004"/>
    <m/>
    <n v="-3147.8300000000004"/>
    <m/>
    <m/>
    <m/>
    <m/>
    <m/>
    <m/>
    <x v="3"/>
  </r>
  <r>
    <x v="0"/>
    <x v="7"/>
    <x v="431"/>
    <x v="1"/>
    <n v="50956.009999999995"/>
    <m/>
    <m/>
    <n v="50956.009999999995"/>
    <m/>
    <n v="50956.009999999995"/>
    <m/>
    <m/>
    <m/>
    <m/>
    <m/>
    <m/>
    <x v="8"/>
  </r>
  <r>
    <x v="0"/>
    <x v="7"/>
    <x v="432"/>
    <x v="0"/>
    <m/>
    <n v="882719.05"/>
    <n v="250000"/>
    <n v="1132719.05"/>
    <n v="4374278"/>
    <n v="5506997.0499999998"/>
    <n v="46887754"/>
    <n v="52394751.049999997"/>
    <n v="0"/>
    <n v="16159560"/>
    <n v="37696510"/>
    <n v="53856070"/>
    <x v="12"/>
  </r>
  <r>
    <x v="0"/>
    <x v="7"/>
    <x v="433"/>
    <x v="1"/>
    <n v="42884.26"/>
    <m/>
    <m/>
    <n v="42884.26"/>
    <m/>
    <n v="42884.26"/>
    <m/>
    <m/>
    <m/>
    <m/>
    <m/>
    <m/>
    <x v="4"/>
  </r>
  <r>
    <x v="0"/>
    <x v="7"/>
    <x v="434"/>
    <x v="1"/>
    <n v="1143.03"/>
    <m/>
    <m/>
    <n v="1143.03"/>
    <m/>
    <n v="1143.03"/>
    <m/>
    <m/>
    <m/>
    <m/>
    <m/>
    <m/>
    <x v="8"/>
  </r>
  <r>
    <x v="0"/>
    <x v="7"/>
    <x v="435"/>
    <x v="1"/>
    <n v="8391.61"/>
    <m/>
    <m/>
    <n v="8391.61"/>
    <m/>
    <n v="8391.61"/>
    <m/>
    <m/>
    <m/>
    <m/>
    <m/>
    <m/>
    <x v="8"/>
  </r>
  <r>
    <x v="0"/>
    <x v="7"/>
    <x v="436"/>
    <x v="1"/>
    <m/>
    <m/>
    <m/>
    <n v="0"/>
    <n v="450000"/>
    <n v="450000"/>
    <m/>
    <m/>
    <m/>
    <m/>
    <m/>
    <m/>
    <x v="8"/>
  </r>
  <r>
    <x v="0"/>
    <x v="7"/>
    <x v="437"/>
    <x v="1"/>
    <n v="648435.31999999995"/>
    <n v="537579.55000000005"/>
    <n v="200000"/>
    <n v="1386014.87"/>
    <n v="200000.04"/>
    <n v="1586014.9100000001"/>
    <m/>
    <m/>
    <m/>
    <m/>
    <m/>
    <m/>
    <x v="8"/>
  </r>
  <r>
    <x v="0"/>
    <x v="7"/>
    <x v="438"/>
    <x v="1"/>
    <n v="482677.3"/>
    <n v="427299.9499999999"/>
    <n v="201850"/>
    <n v="1111827.25"/>
    <m/>
    <n v="1111827.25"/>
    <m/>
    <m/>
    <m/>
    <m/>
    <m/>
    <m/>
    <x v="4"/>
  </r>
  <r>
    <x v="0"/>
    <x v="7"/>
    <x v="439"/>
    <x v="1"/>
    <n v="7136.2199999999984"/>
    <m/>
    <m/>
    <n v="7136.2199999999984"/>
    <m/>
    <n v="7136.2199999999984"/>
    <m/>
    <m/>
    <m/>
    <m/>
    <m/>
    <m/>
    <x v="4"/>
  </r>
  <r>
    <x v="0"/>
    <x v="7"/>
    <x v="440"/>
    <x v="1"/>
    <n v="-1088"/>
    <n v="-20000"/>
    <m/>
    <n v="-21088"/>
    <m/>
    <n v="-21088"/>
    <m/>
    <m/>
    <m/>
    <m/>
    <m/>
    <m/>
    <x v="4"/>
  </r>
  <r>
    <x v="0"/>
    <x v="7"/>
    <x v="441"/>
    <x v="1"/>
    <m/>
    <n v="77688.37"/>
    <m/>
    <n v="77688.37"/>
    <m/>
    <n v="77688.37"/>
    <m/>
    <m/>
    <m/>
    <m/>
    <m/>
    <m/>
    <x v="8"/>
  </r>
  <r>
    <x v="0"/>
    <x v="8"/>
    <x v="442"/>
    <x v="1"/>
    <m/>
    <n v="130050"/>
    <n v="90000"/>
    <n v="220050"/>
    <n v="100000"/>
    <n v="320050"/>
    <m/>
    <m/>
    <m/>
    <m/>
    <m/>
    <m/>
    <x v="3"/>
  </r>
  <r>
    <x v="0"/>
    <x v="8"/>
    <x v="443"/>
    <x v="1"/>
    <n v="280971.56000000006"/>
    <n v="1862173.06"/>
    <n v="291204"/>
    <n v="2434348.62"/>
    <n v="302844"/>
    <n v="2737192.62"/>
    <m/>
    <m/>
    <m/>
    <m/>
    <m/>
    <m/>
    <x v="3"/>
  </r>
  <r>
    <x v="0"/>
    <x v="8"/>
    <x v="444"/>
    <x v="1"/>
    <m/>
    <n v="89374.450000000012"/>
    <n v="104004"/>
    <n v="193378.45"/>
    <n v="108156"/>
    <n v="301534.45"/>
    <m/>
    <m/>
    <m/>
    <m/>
    <m/>
    <m/>
    <x v="3"/>
  </r>
  <r>
    <x v="0"/>
    <x v="8"/>
    <x v="445"/>
    <x v="1"/>
    <n v="103618.25"/>
    <n v="393311.22999999992"/>
    <n v="78000"/>
    <n v="574929.48"/>
    <n v="81120"/>
    <n v="656049.48"/>
    <m/>
    <m/>
    <m/>
    <m/>
    <m/>
    <m/>
    <x v="3"/>
  </r>
  <r>
    <x v="0"/>
    <x v="8"/>
    <x v="446"/>
    <x v="1"/>
    <m/>
    <n v="69181.45"/>
    <n v="236853.45"/>
    <n v="306034.90000000002"/>
    <m/>
    <n v="306034.90000000002"/>
    <m/>
    <m/>
    <m/>
    <m/>
    <m/>
    <m/>
    <x v="5"/>
  </r>
  <r>
    <x v="0"/>
    <x v="8"/>
    <x v="447"/>
    <x v="1"/>
    <n v="184721.26"/>
    <n v="852016.23999999987"/>
    <n v="145596"/>
    <n v="1182333.5"/>
    <n v="151428"/>
    <n v="1333761.5"/>
    <m/>
    <m/>
    <m/>
    <m/>
    <m/>
    <m/>
    <x v="13"/>
  </r>
  <r>
    <x v="0"/>
    <x v="8"/>
    <x v="448"/>
    <x v="1"/>
    <m/>
    <n v="134912.4"/>
    <n v="90000"/>
    <n v="224912.4"/>
    <n v="100000"/>
    <n v="324912.40000000002"/>
    <m/>
    <m/>
    <m/>
    <m/>
    <m/>
    <m/>
    <x v="3"/>
  </r>
  <r>
    <x v="0"/>
    <x v="8"/>
    <x v="449"/>
    <x v="1"/>
    <n v="154755.56"/>
    <n v="446458.95"/>
    <n v="234000"/>
    <n v="835214.51"/>
    <n v="243360"/>
    <n v="1078574.51"/>
    <m/>
    <m/>
    <m/>
    <m/>
    <m/>
    <m/>
    <x v="3"/>
  </r>
  <r>
    <x v="0"/>
    <x v="8"/>
    <x v="450"/>
    <x v="1"/>
    <n v="365232.01"/>
    <n v="1275195.6399999999"/>
    <n v="1060132"/>
    <n v="2700559.65"/>
    <n v="3014667"/>
    <n v="5715226.6500000004"/>
    <m/>
    <m/>
    <m/>
    <m/>
    <m/>
    <m/>
    <x v="13"/>
  </r>
  <r>
    <x v="0"/>
    <x v="8"/>
    <x v="451"/>
    <x v="1"/>
    <n v="84720.34"/>
    <n v="204973.53"/>
    <n v="239196"/>
    <n v="528889.87"/>
    <n v="248772"/>
    <n v="777661.87"/>
    <m/>
    <m/>
    <m/>
    <m/>
    <m/>
    <m/>
    <x v="13"/>
  </r>
  <r>
    <x v="0"/>
    <x v="8"/>
    <x v="452"/>
    <x v="1"/>
    <m/>
    <n v="427314.98"/>
    <m/>
    <n v="427314.98"/>
    <m/>
    <n v="427314.98"/>
    <m/>
    <m/>
    <m/>
    <m/>
    <m/>
    <m/>
    <x v="13"/>
  </r>
  <r>
    <x v="0"/>
    <x v="8"/>
    <x v="453"/>
    <x v="1"/>
    <m/>
    <n v="316811.46000000002"/>
    <n v="291204"/>
    <n v="608015.46"/>
    <n v="302844"/>
    <n v="910859.46"/>
    <m/>
    <m/>
    <m/>
    <m/>
    <m/>
    <m/>
    <x v="3"/>
  </r>
  <r>
    <x v="0"/>
    <x v="8"/>
    <x v="454"/>
    <x v="1"/>
    <m/>
    <n v="104645.86"/>
    <n v="90000"/>
    <n v="194645.86"/>
    <n v="100000"/>
    <n v="294645.86"/>
    <m/>
    <m/>
    <m/>
    <m/>
    <m/>
    <m/>
    <x v="3"/>
  </r>
  <r>
    <x v="0"/>
    <x v="8"/>
    <x v="455"/>
    <x v="1"/>
    <n v="109681.08"/>
    <n v="510711.93"/>
    <n v="124800"/>
    <n v="745193.01"/>
    <n v="129792"/>
    <n v="874985.01"/>
    <m/>
    <m/>
    <m/>
    <m/>
    <m/>
    <m/>
    <x v="13"/>
  </r>
  <r>
    <x v="0"/>
    <x v="8"/>
    <x v="456"/>
    <x v="1"/>
    <m/>
    <n v="105621.06"/>
    <n v="90000"/>
    <n v="195621.06"/>
    <n v="100000"/>
    <n v="295621.06"/>
    <m/>
    <m/>
    <m/>
    <m/>
    <m/>
    <m/>
    <x v="3"/>
  </r>
  <r>
    <x v="0"/>
    <x v="8"/>
    <x v="457"/>
    <x v="1"/>
    <m/>
    <n v="66141.929999999993"/>
    <n v="291204"/>
    <n v="357345.93"/>
    <n v="302844"/>
    <n v="660189.92999999993"/>
    <m/>
    <m/>
    <m/>
    <m/>
    <m/>
    <m/>
    <x v="3"/>
  </r>
  <r>
    <x v="0"/>
    <x v="8"/>
    <x v="458"/>
    <x v="1"/>
    <n v="121866.93"/>
    <n v="647657.93999999994"/>
    <n v="291204"/>
    <n v="1060728.8699999999"/>
    <n v="302844"/>
    <n v="1363572.8699999999"/>
    <m/>
    <m/>
    <m/>
    <m/>
    <m/>
    <m/>
    <x v="3"/>
  </r>
  <r>
    <x v="0"/>
    <x v="8"/>
    <x v="459"/>
    <x v="1"/>
    <n v="221789.34000000005"/>
    <n v="325644.95999999996"/>
    <n v="291204"/>
    <n v="838638.3"/>
    <n v="302844"/>
    <n v="1141482.3"/>
    <m/>
    <m/>
    <m/>
    <m/>
    <m/>
    <m/>
    <x v="3"/>
  </r>
  <r>
    <x v="0"/>
    <x v="8"/>
    <x v="460"/>
    <x v="1"/>
    <m/>
    <n v="126342.97999999997"/>
    <n v="291204"/>
    <n v="417546.98"/>
    <n v="302844"/>
    <n v="720390.98"/>
    <m/>
    <m/>
    <m/>
    <m/>
    <m/>
    <m/>
    <x v="3"/>
  </r>
  <r>
    <x v="0"/>
    <x v="8"/>
    <x v="461"/>
    <x v="1"/>
    <m/>
    <n v="69181.45"/>
    <n v="236853.45"/>
    <n v="306034.90000000002"/>
    <m/>
    <n v="306034.90000000002"/>
    <m/>
    <m/>
    <m/>
    <m/>
    <m/>
    <m/>
    <x v="5"/>
  </r>
  <r>
    <x v="0"/>
    <x v="8"/>
    <x v="462"/>
    <x v="1"/>
    <m/>
    <n v="49496.090000000018"/>
    <n v="205440"/>
    <n v="254936.09000000003"/>
    <n v="213660"/>
    <n v="468596.09"/>
    <m/>
    <m/>
    <m/>
    <m/>
    <m/>
    <m/>
    <x v="3"/>
  </r>
  <r>
    <x v="0"/>
    <x v="8"/>
    <x v="463"/>
    <x v="1"/>
    <m/>
    <n v="69181.45"/>
    <n v="236853.45"/>
    <n v="306034.90000000002"/>
    <m/>
    <n v="306034.90000000002"/>
    <m/>
    <m/>
    <m/>
    <m/>
    <m/>
    <m/>
    <x v="5"/>
  </r>
  <r>
    <x v="0"/>
    <x v="8"/>
    <x v="464"/>
    <x v="1"/>
    <n v="127599.11999999992"/>
    <n v="288499.63"/>
    <n v="275604"/>
    <n v="691702.75"/>
    <n v="286620"/>
    <n v="978322.75"/>
    <m/>
    <m/>
    <m/>
    <m/>
    <m/>
    <m/>
    <x v="13"/>
  </r>
  <r>
    <x v="0"/>
    <x v="8"/>
    <x v="465"/>
    <x v="1"/>
    <n v="484849.52"/>
    <m/>
    <m/>
    <n v="484849.52"/>
    <m/>
    <n v="484849.52"/>
    <m/>
    <m/>
    <m/>
    <m/>
    <m/>
    <m/>
    <x v="13"/>
  </r>
  <r>
    <x v="0"/>
    <x v="8"/>
    <x v="466"/>
    <x v="1"/>
    <n v="483790.85"/>
    <n v="253807.94999999998"/>
    <n v="218400"/>
    <n v="955998.79999999993"/>
    <n v="227136"/>
    <n v="1183134.7999999998"/>
    <m/>
    <m/>
    <m/>
    <m/>
    <m/>
    <m/>
    <x v="13"/>
  </r>
  <r>
    <x v="0"/>
    <x v="8"/>
    <x v="467"/>
    <x v="1"/>
    <m/>
    <m/>
    <n v="120000"/>
    <n v="120000"/>
    <n v="120000"/>
    <n v="240000"/>
    <m/>
    <m/>
    <m/>
    <m/>
    <m/>
    <m/>
    <x v="13"/>
  </r>
  <r>
    <x v="0"/>
    <x v="8"/>
    <x v="468"/>
    <x v="1"/>
    <n v="766797.33999999973"/>
    <n v="2212711.87"/>
    <n v="909440"/>
    <n v="3888949.21"/>
    <m/>
    <n v="3888949.21"/>
    <m/>
    <m/>
    <m/>
    <m/>
    <m/>
    <m/>
    <x v="13"/>
  </r>
  <r>
    <x v="0"/>
    <x v="8"/>
    <x v="469"/>
    <x v="1"/>
    <m/>
    <n v="19563.810000000001"/>
    <m/>
    <n v="19563.810000000001"/>
    <m/>
    <n v="19563.810000000001"/>
    <m/>
    <m/>
    <m/>
    <m/>
    <m/>
    <m/>
    <x v="13"/>
  </r>
  <r>
    <x v="0"/>
    <x v="8"/>
    <x v="470"/>
    <x v="1"/>
    <n v="17088.579999999998"/>
    <n v="304694.71000000002"/>
    <n v="296400"/>
    <n v="618183.29"/>
    <n v="308256"/>
    <n v="926439.29"/>
    <m/>
    <m/>
    <m/>
    <m/>
    <m/>
    <m/>
    <x v="3"/>
  </r>
  <r>
    <x v="0"/>
    <x v="8"/>
    <x v="471"/>
    <x v="1"/>
    <n v="92819.19"/>
    <n v="54924.82"/>
    <n v="291204"/>
    <n v="438948.01"/>
    <n v="302844"/>
    <n v="741792.01"/>
    <m/>
    <m/>
    <m/>
    <m/>
    <m/>
    <m/>
    <x v="3"/>
  </r>
  <r>
    <x v="1"/>
    <x v="9"/>
    <x v="472"/>
    <x v="2"/>
    <n v="30682622.580000002"/>
    <n v="5192723.4400000013"/>
    <m/>
    <n v="35875346.020000003"/>
    <m/>
    <n v="35875346.020000003"/>
    <m/>
    <m/>
    <m/>
    <m/>
    <m/>
    <m/>
    <x v="14"/>
  </r>
  <r>
    <x v="1"/>
    <x v="9"/>
    <x v="473"/>
    <x v="2"/>
    <n v="4404196.5899999989"/>
    <n v="455228.38"/>
    <m/>
    <n v="4859424.9699999988"/>
    <m/>
    <n v="4859424.9699999988"/>
    <m/>
    <m/>
    <m/>
    <m/>
    <m/>
    <m/>
    <x v="14"/>
  </r>
  <r>
    <x v="1"/>
    <x v="9"/>
    <x v="474"/>
    <x v="2"/>
    <n v="46268460.630000003"/>
    <n v="1258772.1299999997"/>
    <m/>
    <n v="47527232.760000005"/>
    <m/>
    <n v="47527232.760000005"/>
    <m/>
    <m/>
    <n v="0"/>
    <m/>
    <m/>
    <m/>
    <x v="14"/>
  </r>
  <r>
    <x v="1"/>
    <x v="10"/>
    <x v="475"/>
    <x v="1"/>
    <n v="1018042.6799999999"/>
    <n v="-54968.110000000052"/>
    <n v="1689859"/>
    <n v="2652933.5699999998"/>
    <n v="1574086"/>
    <n v="4227019.57"/>
    <m/>
    <m/>
    <m/>
    <m/>
    <m/>
    <m/>
    <x v="8"/>
  </r>
  <r>
    <x v="1"/>
    <x v="10"/>
    <x v="476"/>
    <x v="1"/>
    <n v="380272.03"/>
    <n v="-213699.17"/>
    <m/>
    <n v="166572.86000000002"/>
    <m/>
    <n v="166572.86000000002"/>
    <m/>
    <m/>
    <m/>
    <m/>
    <m/>
    <m/>
    <x v="8"/>
  </r>
  <r>
    <x v="1"/>
    <x v="10"/>
    <x v="477"/>
    <x v="1"/>
    <m/>
    <m/>
    <n v="6224627"/>
    <n v="6224627"/>
    <n v="11931546"/>
    <n v="18156173"/>
    <m/>
    <m/>
    <m/>
    <m/>
    <m/>
    <m/>
    <x v="8"/>
  </r>
  <r>
    <x v="1"/>
    <x v="10"/>
    <x v="478"/>
    <x v="1"/>
    <m/>
    <n v="358879.99"/>
    <n v="500000"/>
    <n v="858879.99"/>
    <n v="500000"/>
    <n v="1358879.99"/>
    <m/>
    <m/>
    <m/>
    <m/>
    <m/>
    <m/>
    <x v="3"/>
  </r>
  <r>
    <x v="1"/>
    <x v="10"/>
    <x v="479"/>
    <x v="1"/>
    <n v="322973.36"/>
    <n v="32925.800000000039"/>
    <m/>
    <n v="355899.16000000003"/>
    <m/>
    <n v="355899.16000000003"/>
    <m/>
    <m/>
    <m/>
    <m/>
    <m/>
    <m/>
    <x v="8"/>
  </r>
  <r>
    <x v="1"/>
    <x v="10"/>
    <x v="480"/>
    <x v="2"/>
    <m/>
    <n v="1503.81"/>
    <n v="269000"/>
    <n v="270503.81"/>
    <n v="132000"/>
    <n v="402503.81"/>
    <m/>
    <m/>
    <m/>
    <m/>
    <m/>
    <m/>
    <x v="15"/>
  </r>
  <r>
    <x v="1"/>
    <x v="10"/>
    <x v="481"/>
    <x v="0"/>
    <m/>
    <m/>
    <n v="378250"/>
    <n v="378250"/>
    <n v="215750"/>
    <n v="594000"/>
    <m/>
    <n v="594000"/>
    <m/>
    <m/>
    <m/>
    <n v="0"/>
    <x v="15"/>
  </r>
  <r>
    <x v="1"/>
    <x v="10"/>
    <x v="482"/>
    <x v="0"/>
    <m/>
    <n v="266.79000000000002"/>
    <n v="201000"/>
    <n v="201266.79"/>
    <n v="93000"/>
    <n v="294266.79000000004"/>
    <m/>
    <n v="294266.79000000004"/>
    <m/>
    <m/>
    <m/>
    <n v="0"/>
    <x v="15"/>
  </r>
  <r>
    <x v="1"/>
    <x v="10"/>
    <x v="483"/>
    <x v="2"/>
    <m/>
    <n v="7171.6100000000015"/>
    <n v="300000"/>
    <n v="307171.61"/>
    <m/>
    <n v="307171.61"/>
    <m/>
    <m/>
    <m/>
    <m/>
    <m/>
    <m/>
    <x v="15"/>
  </r>
  <r>
    <x v="1"/>
    <x v="10"/>
    <x v="484"/>
    <x v="2"/>
    <m/>
    <m/>
    <n v="7821956.04"/>
    <n v="7821956.04"/>
    <m/>
    <n v="7821956.04"/>
    <m/>
    <m/>
    <m/>
    <m/>
    <m/>
    <m/>
    <x v="15"/>
  </r>
  <r>
    <x v="1"/>
    <x v="10"/>
    <x v="485"/>
    <x v="0"/>
    <m/>
    <m/>
    <m/>
    <n v="0"/>
    <m/>
    <n v="0"/>
    <m/>
    <n v="0"/>
    <n v="38520752"/>
    <n v="18552321"/>
    <m/>
    <n v="57073073"/>
    <x v="15"/>
  </r>
  <r>
    <x v="1"/>
    <x v="10"/>
    <x v="486"/>
    <x v="0"/>
    <m/>
    <m/>
    <m/>
    <n v="0"/>
    <m/>
    <n v="0"/>
    <m/>
    <n v="0"/>
    <n v="20819332"/>
    <n v="11688818"/>
    <m/>
    <n v="32508150"/>
    <x v="15"/>
  </r>
  <r>
    <x v="1"/>
    <x v="10"/>
    <x v="487"/>
    <x v="0"/>
    <m/>
    <m/>
    <m/>
    <n v="0"/>
    <m/>
    <n v="0"/>
    <n v="125000000"/>
    <n v="125000000"/>
    <n v="41633592"/>
    <n v="11295011"/>
    <m/>
    <n v="52928603"/>
    <x v="15"/>
  </r>
  <r>
    <x v="1"/>
    <x v="10"/>
    <x v="488"/>
    <x v="0"/>
    <m/>
    <m/>
    <m/>
    <n v="0"/>
    <m/>
    <n v="0"/>
    <m/>
    <n v="0"/>
    <n v="371897"/>
    <n v="4462761"/>
    <n v="0"/>
    <n v="4834658"/>
    <x v="15"/>
  </r>
  <r>
    <x v="1"/>
    <x v="10"/>
    <x v="489"/>
    <x v="1"/>
    <n v="-2279.4199999999996"/>
    <n v="28376.05"/>
    <m/>
    <n v="26096.63"/>
    <m/>
    <n v="26096.63"/>
    <m/>
    <m/>
    <m/>
    <m/>
    <m/>
    <m/>
    <x v="8"/>
  </r>
  <r>
    <x v="1"/>
    <x v="10"/>
    <x v="490"/>
    <x v="1"/>
    <n v="10966.76"/>
    <n v="33910.170000000006"/>
    <m/>
    <n v="44876.930000000008"/>
    <n v="2800000"/>
    <n v="2844876.93"/>
    <m/>
    <m/>
    <m/>
    <m/>
    <m/>
    <m/>
    <x v="8"/>
  </r>
  <r>
    <x v="1"/>
    <x v="10"/>
    <x v="491"/>
    <x v="0"/>
    <m/>
    <n v="7109985.379999999"/>
    <n v="34330719.520000003"/>
    <n v="41440704.900000006"/>
    <n v="13016790.43"/>
    <n v="54457495.330000006"/>
    <m/>
    <n v="54457495.330000006"/>
    <m/>
    <m/>
    <m/>
    <n v="0"/>
    <x v="15"/>
  </r>
  <r>
    <x v="1"/>
    <x v="10"/>
    <x v="492"/>
    <x v="0"/>
    <m/>
    <n v="3669206.4600000004"/>
    <n v="19180354.510000002"/>
    <n v="22849560.970000003"/>
    <n v="8183172.2400000002"/>
    <n v="31032733.210000001"/>
    <m/>
    <n v="31032733.210000001"/>
    <m/>
    <m/>
    <m/>
    <n v="0"/>
    <x v="15"/>
  </r>
  <r>
    <x v="1"/>
    <x v="10"/>
    <x v="493"/>
    <x v="4"/>
    <m/>
    <m/>
    <n v="611610"/>
    <n v="611610"/>
    <n v="42595277.039999999"/>
    <n v="43206887.039999999"/>
    <m/>
    <m/>
    <m/>
    <m/>
    <m/>
    <m/>
    <x v="16"/>
  </r>
  <r>
    <x v="1"/>
    <x v="10"/>
    <x v="494"/>
    <x v="0"/>
    <m/>
    <n v="5950782.6099999994"/>
    <n v="30238333.739999998"/>
    <n v="36189116.349999994"/>
    <n v="14519883.65"/>
    <n v="50708999.999999993"/>
    <m/>
    <n v="50708999.999999993"/>
    <m/>
    <m/>
    <m/>
    <n v="0"/>
    <x v="15"/>
  </r>
  <r>
    <x v="1"/>
    <x v="11"/>
    <x v="495"/>
    <x v="1"/>
    <n v="339854.89"/>
    <n v="9514.83"/>
    <n v="9616444"/>
    <n v="9965813.7200000007"/>
    <n v="8023341"/>
    <n v="17989154.719999999"/>
    <m/>
    <m/>
    <m/>
    <m/>
    <m/>
    <m/>
    <x v="5"/>
  </r>
  <r>
    <x v="1"/>
    <x v="11"/>
    <x v="496"/>
    <x v="1"/>
    <n v="7720.6200000000017"/>
    <m/>
    <m/>
    <n v="7720.6200000000017"/>
    <m/>
    <n v="7720.6200000000017"/>
    <m/>
    <m/>
    <m/>
    <m/>
    <m/>
    <m/>
    <x v="3"/>
  </r>
  <r>
    <x v="1"/>
    <x v="11"/>
    <x v="497"/>
    <x v="1"/>
    <n v="437004.99"/>
    <n v="35088.39"/>
    <n v="250000"/>
    <n v="722093.38"/>
    <n v="250000"/>
    <n v="972093.38"/>
    <m/>
    <m/>
    <m/>
    <m/>
    <m/>
    <m/>
    <x v="3"/>
  </r>
  <r>
    <x v="1"/>
    <x v="11"/>
    <x v="498"/>
    <x v="1"/>
    <n v="120054.41"/>
    <n v="1144377.3499999999"/>
    <n v="400000"/>
    <n v="1664431.7599999998"/>
    <n v="400000"/>
    <n v="2064431.7599999998"/>
    <m/>
    <m/>
    <m/>
    <m/>
    <m/>
    <m/>
    <x v="3"/>
  </r>
  <r>
    <x v="1"/>
    <x v="11"/>
    <x v="499"/>
    <x v="1"/>
    <m/>
    <m/>
    <n v="100000"/>
    <n v="100000"/>
    <n v="100000"/>
    <n v="200000"/>
    <m/>
    <m/>
    <m/>
    <m/>
    <m/>
    <m/>
    <x v="3"/>
  </r>
  <r>
    <x v="1"/>
    <x v="11"/>
    <x v="500"/>
    <x v="1"/>
    <n v="210300.65000000002"/>
    <n v="336691.05"/>
    <n v="220000"/>
    <n v="766991.7"/>
    <n v="240000"/>
    <n v="1006991.7"/>
    <m/>
    <m/>
    <m/>
    <m/>
    <m/>
    <m/>
    <x v="3"/>
  </r>
  <r>
    <x v="1"/>
    <x v="11"/>
    <x v="501"/>
    <x v="1"/>
    <n v="10506.770000000011"/>
    <m/>
    <m/>
    <n v="10506.770000000011"/>
    <m/>
    <n v="10506.770000000011"/>
    <m/>
    <m/>
    <m/>
    <m/>
    <m/>
    <m/>
    <x v="3"/>
  </r>
  <r>
    <x v="1"/>
    <x v="11"/>
    <x v="502"/>
    <x v="1"/>
    <n v="175188.75000000012"/>
    <n v="414905.18"/>
    <n v="200000"/>
    <n v="790093.93000000017"/>
    <n v="200000"/>
    <n v="990093.93000000017"/>
    <m/>
    <m/>
    <m/>
    <m/>
    <m/>
    <m/>
    <x v="3"/>
  </r>
  <r>
    <x v="1"/>
    <x v="11"/>
    <x v="503"/>
    <x v="1"/>
    <n v="-23558.280000000002"/>
    <m/>
    <m/>
    <n v="-23558.280000000002"/>
    <m/>
    <n v="-23558.280000000002"/>
    <m/>
    <m/>
    <m/>
    <m/>
    <m/>
    <m/>
    <x v="3"/>
  </r>
  <r>
    <x v="1"/>
    <x v="11"/>
    <x v="504"/>
    <x v="1"/>
    <n v="306.69000000000005"/>
    <m/>
    <m/>
    <n v="306.69000000000005"/>
    <m/>
    <n v="306.69000000000005"/>
    <m/>
    <m/>
    <m/>
    <m/>
    <m/>
    <m/>
    <x v="8"/>
  </r>
  <r>
    <x v="1"/>
    <x v="11"/>
    <x v="505"/>
    <x v="1"/>
    <n v="7957.99"/>
    <m/>
    <m/>
    <n v="7957.99"/>
    <m/>
    <n v="7957.99"/>
    <m/>
    <m/>
    <m/>
    <m/>
    <m/>
    <m/>
    <x v="8"/>
  </r>
  <r>
    <x v="1"/>
    <x v="11"/>
    <x v="506"/>
    <x v="1"/>
    <n v="312371.08999999997"/>
    <n v="319639.22999999981"/>
    <m/>
    <n v="632010.31999999983"/>
    <m/>
    <n v="632010.31999999983"/>
    <m/>
    <m/>
    <m/>
    <m/>
    <m/>
    <m/>
    <x v="3"/>
  </r>
  <r>
    <x v="1"/>
    <x v="11"/>
    <x v="507"/>
    <x v="1"/>
    <n v="0"/>
    <m/>
    <m/>
    <n v="0"/>
    <m/>
    <n v="0"/>
    <m/>
    <m/>
    <m/>
    <m/>
    <m/>
    <m/>
    <x v="8"/>
  </r>
  <r>
    <x v="1"/>
    <x v="12"/>
    <x v="508"/>
    <x v="2"/>
    <n v="17643101.700000007"/>
    <n v="40857382.560000017"/>
    <n v="739441.88"/>
    <n v="59239926.140000023"/>
    <m/>
    <n v="59239926.140000023"/>
    <m/>
    <m/>
    <m/>
    <m/>
    <m/>
    <m/>
    <x v="17"/>
  </r>
  <r>
    <x v="1"/>
    <x v="12"/>
    <x v="509"/>
    <x v="1"/>
    <n v="45786.899999999994"/>
    <m/>
    <m/>
    <n v="45786.899999999994"/>
    <m/>
    <n v="45786.899999999994"/>
    <m/>
    <m/>
    <m/>
    <m/>
    <m/>
    <m/>
    <x v="8"/>
  </r>
  <r>
    <x v="1"/>
    <x v="12"/>
    <x v="510"/>
    <x v="2"/>
    <n v="1137686.0399999998"/>
    <n v="146557.57000000004"/>
    <m/>
    <n v="1284243.6099999999"/>
    <m/>
    <n v="1284243.6099999999"/>
    <m/>
    <m/>
    <m/>
    <m/>
    <m/>
    <m/>
    <x v="17"/>
  </r>
  <r>
    <x v="1"/>
    <x v="12"/>
    <x v="511"/>
    <x v="2"/>
    <n v="13561807.129999997"/>
    <n v="235747.76000000004"/>
    <m/>
    <n v="13797554.889999997"/>
    <m/>
    <n v="13797554.889999997"/>
    <m/>
    <m/>
    <m/>
    <m/>
    <m/>
    <m/>
    <x v="17"/>
  </r>
  <r>
    <x v="1"/>
    <x v="12"/>
    <x v="512"/>
    <x v="0"/>
    <m/>
    <m/>
    <n v="12878944.970000001"/>
    <n v="12878944.970000001"/>
    <n v="85430904.939999998"/>
    <n v="98309849.909999996"/>
    <n v="3696062.85"/>
    <n v="102005912.75999999"/>
    <m/>
    <m/>
    <m/>
    <n v="0"/>
    <x v="18"/>
  </r>
  <r>
    <x v="1"/>
    <x v="12"/>
    <x v="513"/>
    <x v="2"/>
    <m/>
    <n v="42396641.480000004"/>
    <n v="52479898.43"/>
    <n v="94876539.909999996"/>
    <n v="4571121.66"/>
    <n v="99447661.569999993"/>
    <m/>
    <m/>
    <m/>
    <m/>
    <m/>
    <m/>
    <x v="18"/>
  </r>
  <r>
    <x v="1"/>
    <x v="12"/>
    <x v="514"/>
    <x v="1"/>
    <n v="109236.47"/>
    <n v="57243.490000000005"/>
    <n v="200000"/>
    <n v="366479.96"/>
    <n v="200000"/>
    <n v="566479.96"/>
    <m/>
    <m/>
    <m/>
    <m/>
    <m/>
    <m/>
    <x v="3"/>
  </r>
  <r>
    <x v="1"/>
    <x v="12"/>
    <x v="515"/>
    <x v="0"/>
    <m/>
    <n v="18332224.140000001"/>
    <n v="25040720.350000001"/>
    <n v="43372944.490000002"/>
    <n v="55527936.329999998"/>
    <n v="98900880.819999993"/>
    <n v="1158000"/>
    <n v="100058880.81999999"/>
    <m/>
    <m/>
    <m/>
    <n v="0"/>
    <x v="18"/>
  </r>
  <r>
    <x v="1"/>
    <x v="12"/>
    <x v="516"/>
    <x v="2"/>
    <n v="7103755.0900000008"/>
    <n v="19629458.339999996"/>
    <n v="277768.46000000002"/>
    <n v="27010981.889999997"/>
    <m/>
    <n v="27010981.889999997"/>
    <m/>
    <m/>
    <m/>
    <m/>
    <m/>
    <m/>
    <x v="17"/>
  </r>
  <r>
    <x v="1"/>
    <x v="12"/>
    <x v="517"/>
    <x v="2"/>
    <n v="0"/>
    <m/>
    <m/>
    <n v="0"/>
    <m/>
    <n v="0"/>
    <m/>
    <m/>
    <m/>
    <m/>
    <m/>
    <m/>
    <x v="17"/>
  </r>
  <r>
    <x v="1"/>
    <x v="12"/>
    <x v="518"/>
    <x v="2"/>
    <n v="1810784.0999999999"/>
    <n v="6759800.4200000046"/>
    <n v="100000"/>
    <n v="8670584.5200000051"/>
    <m/>
    <n v="8670584.5200000051"/>
    <m/>
    <m/>
    <m/>
    <m/>
    <m/>
    <m/>
    <x v="17"/>
  </r>
  <r>
    <x v="1"/>
    <x v="12"/>
    <x v="519"/>
    <x v="2"/>
    <n v="21741.4"/>
    <n v="1775.0500000000002"/>
    <m/>
    <n v="23516.45"/>
    <m/>
    <n v="23516.45"/>
    <m/>
    <m/>
    <m/>
    <m/>
    <m/>
    <m/>
    <x v="17"/>
  </r>
  <r>
    <x v="1"/>
    <x v="12"/>
    <x v="520"/>
    <x v="2"/>
    <n v="76839.880000000019"/>
    <n v="1.8900436771218665E-12"/>
    <m/>
    <n v="76839.880000000019"/>
    <m/>
    <n v="76839.880000000019"/>
    <m/>
    <m/>
    <m/>
    <m/>
    <m/>
    <m/>
    <x v="17"/>
  </r>
  <r>
    <x v="1"/>
    <x v="12"/>
    <x v="521"/>
    <x v="0"/>
    <m/>
    <m/>
    <m/>
    <n v="0"/>
    <n v="9610000"/>
    <n v="9610000"/>
    <m/>
    <n v="9610000"/>
    <m/>
    <m/>
    <m/>
    <n v="0"/>
    <x v="18"/>
  </r>
  <r>
    <x v="1"/>
    <x v="12"/>
    <x v="522"/>
    <x v="0"/>
    <m/>
    <n v="4.9737991503207013E-14"/>
    <m/>
    <n v="4.9737991503207013E-14"/>
    <m/>
    <n v="4.9737991503207013E-14"/>
    <m/>
    <n v="4.9737991503207013E-14"/>
    <m/>
    <m/>
    <m/>
    <n v="0"/>
    <x v="18"/>
  </r>
  <r>
    <x v="1"/>
    <x v="12"/>
    <x v="523"/>
    <x v="2"/>
    <m/>
    <n v="167287.04000000001"/>
    <n v="8991566.8499999996"/>
    <n v="9158853.8899999987"/>
    <m/>
    <n v="9158853.8899999987"/>
    <m/>
    <m/>
    <m/>
    <m/>
    <m/>
    <m/>
    <x v="18"/>
  </r>
  <r>
    <x v="1"/>
    <x v="12"/>
    <x v="524"/>
    <x v="0"/>
    <m/>
    <n v="105.89000000000001"/>
    <n v="4789040"/>
    <n v="4789145.8899999997"/>
    <n v="4338144"/>
    <n v="9127289.8900000006"/>
    <m/>
    <n v="9127289.8900000006"/>
    <m/>
    <m/>
    <m/>
    <n v="0"/>
    <x v="18"/>
  </r>
  <r>
    <x v="1"/>
    <x v="12"/>
    <x v="525"/>
    <x v="2"/>
    <n v="103423.43000000001"/>
    <n v="6453318.8400000036"/>
    <n v="100000"/>
    <n v="6656742.2700000033"/>
    <m/>
    <n v="6656742.2700000033"/>
    <m/>
    <m/>
    <m/>
    <m/>
    <m/>
    <m/>
    <x v="17"/>
  </r>
  <r>
    <x v="1"/>
    <x v="12"/>
    <x v="526"/>
    <x v="2"/>
    <n v="189.92000000000002"/>
    <m/>
    <m/>
    <n v="189.92000000000002"/>
    <m/>
    <n v="189.92000000000002"/>
    <m/>
    <m/>
    <m/>
    <m/>
    <m/>
    <m/>
    <x v="17"/>
  </r>
  <r>
    <x v="1"/>
    <x v="12"/>
    <x v="527"/>
    <x v="2"/>
    <m/>
    <n v="46967.67"/>
    <n v="2920069.3200000003"/>
    <n v="2967036.99"/>
    <m/>
    <n v="2967036.99"/>
    <m/>
    <m/>
    <m/>
    <m/>
    <m/>
    <m/>
    <x v="18"/>
  </r>
  <r>
    <x v="1"/>
    <x v="12"/>
    <x v="528"/>
    <x v="0"/>
    <m/>
    <m/>
    <m/>
    <n v="0"/>
    <n v="7000000"/>
    <n v="7000000"/>
    <n v="6000000"/>
    <n v="13000000"/>
    <m/>
    <m/>
    <m/>
    <n v="0"/>
    <x v="18"/>
  </r>
  <r>
    <x v="1"/>
    <x v="12"/>
    <x v="529"/>
    <x v="0"/>
    <m/>
    <m/>
    <m/>
    <n v="0"/>
    <n v="5480000"/>
    <n v="5480000"/>
    <m/>
    <n v="5480000"/>
    <m/>
    <m/>
    <m/>
    <n v="0"/>
    <x v="18"/>
  </r>
  <r>
    <x v="1"/>
    <x v="12"/>
    <x v="530"/>
    <x v="2"/>
    <n v="215953.08999999997"/>
    <m/>
    <m/>
    <n v="215953.08999999997"/>
    <m/>
    <n v="215953.08999999997"/>
    <m/>
    <m/>
    <m/>
    <m/>
    <m/>
    <m/>
    <x v="17"/>
  </r>
  <r>
    <x v="1"/>
    <x v="12"/>
    <x v="531"/>
    <x v="2"/>
    <n v="325891.75999999989"/>
    <n v="6146905.54"/>
    <n v="50000"/>
    <n v="6522797.2999999998"/>
    <m/>
    <n v="6522797.2999999998"/>
    <m/>
    <m/>
    <m/>
    <m/>
    <m/>
    <m/>
    <x v="17"/>
  </r>
  <r>
    <x v="1"/>
    <x v="12"/>
    <x v="532"/>
    <x v="2"/>
    <n v="971355.21000000089"/>
    <n v="11393684.480000004"/>
    <n v="150000"/>
    <n v="12515039.690000005"/>
    <m/>
    <n v="12515039.690000005"/>
    <m/>
    <m/>
    <m/>
    <m/>
    <m/>
    <m/>
    <x v="17"/>
  </r>
  <r>
    <x v="1"/>
    <x v="12"/>
    <x v="533"/>
    <x v="2"/>
    <n v="8313302.2699999977"/>
    <n v="230095.78"/>
    <m/>
    <n v="8543398.049999997"/>
    <m/>
    <n v="8543398.049999997"/>
    <m/>
    <m/>
    <m/>
    <m/>
    <m/>
    <m/>
    <x v="17"/>
  </r>
  <r>
    <x v="1"/>
    <x v="12"/>
    <x v="534"/>
    <x v="2"/>
    <n v="1126877.0100000007"/>
    <n v="5147.5200000000004"/>
    <m/>
    <n v="1132024.5300000007"/>
    <m/>
    <n v="1132024.5300000007"/>
    <m/>
    <m/>
    <m/>
    <m/>
    <m/>
    <m/>
    <x v="17"/>
  </r>
  <r>
    <x v="1"/>
    <x v="12"/>
    <x v="535"/>
    <x v="2"/>
    <n v="13949.869999999984"/>
    <n v="1941.8500000000004"/>
    <m/>
    <n v="15891.719999999985"/>
    <m/>
    <n v="15891.719999999985"/>
    <m/>
    <m/>
    <m/>
    <m/>
    <m/>
    <m/>
    <x v="17"/>
  </r>
  <r>
    <x v="1"/>
    <x v="12"/>
    <x v="536"/>
    <x v="2"/>
    <n v="5365599"/>
    <n v="168766.86999999988"/>
    <m/>
    <n v="5534365.8700000001"/>
    <m/>
    <n v="5534365.8700000001"/>
    <m/>
    <m/>
    <m/>
    <m/>
    <m/>
    <m/>
    <x v="17"/>
  </r>
  <r>
    <x v="1"/>
    <x v="12"/>
    <x v="484"/>
    <x v="2"/>
    <n v="30670.570000000003"/>
    <n v="10417373.610000001"/>
    <m/>
    <n v="10448044.180000002"/>
    <m/>
    <n v="10448044.180000002"/>
    <m/>
    <m/>
    <m/>
    <m/>
    <m/>
    <m/>
    <x v="15"/>
  </r>
  <r>
    <x v="1"/>
    <x v="12"/>
    <x v="537"/>
    <x v="2"/>
    <n v="2854646.8000000003"/>
    <n v="12734302.090000002"/>
    <n v="20179361.879999999"/>
    <n v="35768310.770000003"/>
    <n v="4303376.7299999995"/>
    <n v="40071687.5"/>
    <m/>
    <m/>
    <m/>
    <m/>
    <m/>
    <m/>
    <x v="18"/>
  </r>
  <r>
    <x v="1"/>
    <x v="12"/>
    <x v="538"/>
    <x v="0"/>
    <m/>
    <m/>
    <n v="6935092.7300000004"/>
    <n v="6935092.7300000004"/>
    <n v="26447724.25"/>
    <n v="33382816.98"/>
    <n v="41340433"/>
    <n v="74723249.980000004"/>
    <m/>
    <m/>
    <m/>
    <n v="0"/>
    <x v="18"/>
  </r>
  <r>
    <x v="1"/>
    <x v="12"/>
    <x v="539"/>
    <x v="0"/>
    <m/>
    <m/>
    <n v="9816711.3000000007"/>
    <n v="9816711.3000000007"/>
    <m/>
    <n v="9816711.3000000007"/>
    <m/>
    <n v="9816711.3000000007"/>
    <m/>
    <m/>
    <m/>
    <n v="0"/>
    <x v="18"/>
  </r>
  <r>
    <x v="1"/>
    <x v="12"/>
    <x v="540"/>
    <x v="0"/>
    <m/>
    <m/>
    <n v="14639506.869999999"/>
    <n v="14639506.869999999"/>
    <n v="82470990.909999996"/>
    <n v="97110497.780000001"/>
    <n v="773251"/>
    <n v="97883748.780000001"/>
    <m/>
    <m/>
    <m/>
    <n v="0"/>
    <x v="18"/>
  </r>
  <r>
    <x v="1"/>
    <x v="12"/>
    <x v="541"/>
    <x v="0"/>
    <m/>
    <m/>
    <n v="14062371.300000001"/>
    <n v="14062371.300000001"/>
    <m/>
    <n v="14062371.300000001"/>
    <m/>
    <n v="14062371.300000001"/>
    <m/>
    <m/>
    <m/>
    <n v="0"/>
    <x v="18"/>
  </r>
  <r>
    <x v="1"/>
    <x v="12"/>
    <x v="542"/>
    <x v="2"/>
    <n v="8020170.9400000013"/>
    <n v="468408.17000000004"/>
    <n v="5000"/>
    <n v="8493579.1100000013"/>
    <m/>
    <n v="8493579.1100000013"/>
    <m/>
    <m/>
    <m/>
    <m/>
    <m/>
    <m/>
    <x v="17"/>
  </r>
  <r>
    <x v="1"/>
    <x v="12"/>
    <x v="543"/>
    <x v="2"/>
    <n v="42853016.790000014"/>
    <n v="29452461.179999989"/>
    <n v="758118.76"/>
    <n v="73063596.730000004"/>
    <m/>
    <n v="73063596.730000004"/>
    <m/>
    <m/>
    <m/>
    <m/>
    <m/>
    <m/>
    <x v="17"/>
  </r>
  <r>
    <x v="1"/>
    <x v="12"/>
    <x v="544"/>
    <x v="2"/>
    <n v="-126.4"/>
    <m/>
    <m/>
    <n v="-126.4"/>
    <m/>
    <n v="-126.4"/>
    <m/>
    <m/>
    <m/>
    <m/>
    <m/>
    <m/>
    <x v="17"/>
  </r>
  <r>
    <x v="1"/>
    <x v="12"/>
    <x v="545"/>
    <x v="2"/>
    <n v="15362311.209999995"/>
    <n v="57002346.100000009"/>
    <n v="1945768.3"/>
    <n v="74310425.609999999"/>
    <m/>
    <n v="74310425.609999999"/>
    <m/>
    <m/>
    <m/>
    <m/>
    <m/>
    <m/>
    <x v="17"/>
  </r>
  <r>
    <x v="1"/>
    <x v="12"/>
    <x v="546"/>
    <x v="1"/>
    <m/>
    <m/>
    <m/>
    <n v="0"/>
    <n v="6000000"/>
    <n v="6000000"/>
    <m/>
    <m/>
    <m/>
    <m/>
    <m/>
    <m/>
    <x v="19"/>
  </r>
  <r>
    <x v="1"/>
    <x v="12"/>
    <x v="547"/>
    <x v="2"/>
    <n v="35573722.060000002"/>
    <n v="708191.31000000064"/>
    <m/>
    <n v="36281913.370000005"/>
    <m/>
    <n v="36281913.370000005"/>
    <m/>
    <m/>
    <m/>
    <m/>
    <m/>
    <m/>
    <x v="17"/>
  </r>
  <r>
    <x v="1"/>
    <x v="12"/>
    <x v="548"/>
    <x v="2"/>
    <n v="482014.59999999928"/>
    <n v="717780.03"/>
    <m/>
    <n v="1199794.6299999994"/>
    <m/>
    <n v="1199794.6299999994"/>
    <m/>
    <m/>
    <m/>
    <m/>
    <m/>
    <m/>
    <x v="17"/>
  </r>
  <r>
    <x v="1"/>
    <x v="12"/>
    <x v="549"/>
    <x v="2"/>
    <n v="5046909.8199999984"/>
    <n v="790385.73999999929"/>
    <n v="5000"/>
    <n v="5842295.5599999977"/>
    <m/>
    <n v="5842295.5599999977"/>
    <m/>
    <m/>
    <m/>
    <m/>
    <m/>
    <m/>
    <x v="17"/>
  </r>
  <r>
    <x v="1"/>
    <x v="12"/>
    <x v="550"/>
    <x v="1"/>
    <m/>
    <n v="14200"/>
    <m/>
    <n v="14200"/>
    <m/>
    <n v="14200"/>
    <m/>
    <m/>
    <m/>
    <m/>
    <m/>
    <m/>
    <x v="17"/>
  </r>
  <r>
    <x v="1"/>
    <x v="12"/>
    <x v="551"/>
    <x v="2"/>
    <n v="35684200.159999989"/>
    <n v="428932.96999999986"/>
    <m/>
    <n v="36113133.129999988"/>
    <m/>
    <n v="36113133.129999988"/>
    <m/>
    <m/>
    <m/>
    <m/>
    <m/>
    <m/>
    <x v="17"/>
  </r>
  <r>
    <x v="1"/>
    <x v="12"/>
    <x v="552"/>
    <x v="1"/>
    <n v="350883.42999999993"/>
    <n v="18356.519999999993"/>
    <m/>
    <n v="369239.94999999995"/>
    <m/>
    <n v="369239.94999999995"/>
    <m/>
    <m/>
    <m/>
    <m/>
    <m/>
    <m/>
    <x v="17"/>
  </r>
  <r>
    <x v="1"/>
    <x v="12"/>
    <x v="553"/>
    <x v="1"/>
    <n v="7.2100000000064028"/>
    <m/>
    <m/>
    <n v="7.2100000000064028"/>
    <m/>
    <n v="7.2100000000064028"/>
    <m/>
    <m/>
    <m/>
    <m/>
    <m/>
    <m/>
    <x v="5"/>
  </r>
  <r>
    <x v="1"/>
    <x v="12"/>
    <x v="554"/>
    <x v="1"/>
    <n v="1425531.6700000002"/>
    <n v="9770580.2300000004"/>
    <n v="8583888.1000000015"/>
    <n v="19780000"/>
    <m/>
    <n v="19780000"/>
    <m/>
    <m/>
    <m/>
    <m/>
    <m/>
    <m/>
    <x v="5"/>
  </r>
  <r>
    <x v="1"/>
    <x v="12"/>
    <x v="555"/>
    <x v="4"/>
    <m/>
    <m/>
    <m/>
    <n v="0"/>
    <n v="4840000"/>
    <n v="4840000"/>
    <m/>
    <m/>
    <m/>
    <m/>
    <m/>
    <m/>
    <x v="16"/>
  </r>
  <r>
    <x v="1"/>
    <x v="12"/>
    <x v="556"/>
    <x v="0"/>
    <m/>
    <m/>
    <n v="2378000"/>
    <n v="2378000"/>
    <m/>
    <n v="2378000"/>
    <m/>
    <n v="2378000"/>
    <m/>
    <m/>
    <m/>
    <n v="0"/>
    <x v="18"/>
  </r>
  <r>
    <x v="1"/>
    <x v="12"/>
    <x v="557"/>
    <x v="0"/>
    <m/>
    <m/>
    <m/>
    <n v="0"/>
    <n v="12000000"/>
    <n v="12000000"/>
    <m/>
    <n v="12000000"/>
    <m/>
    <m/>
    <m/>
    <n v="0"/>
    <x v="18"/>
  </r>
  <r>
    <x v="1"/>
    <x v="12"/>
    <x v="558"/>
    <x v="0"/>
    <m/>
    <m/>
    <m/>
    <n v="0"/>
    <n v="15000000"/>
    <n v="15000000"/>
    <n v="115719334"/>
    <n v="130719334"/>
    <m/>
    <m/>
    <m/>
    <n v="0"/>
    <x v="18"/>
  </r>
  <r>
    <x v="1"/>
    <x v="12"/>
    <x v="559"/>
    <x v="4"/>
    <m/>
    <m/>
    <m/>
    <n v="0"/>
    <n v="4840000"/>
    <n v="4840000"/>
    <m/>
    <m/>
    <m/>
    <m/>
    <n v="21782125"/>
    <m/>
    <x v="16"/>
  </r>
  <r>
    <x v="1"/>
    <x v="12"/>
    <x v="560"/>
    <x v="4"/>
    <m/>
    <m/>
    <m/>
    <n v="0"/>
    <n v="10000000"/>
    <n v="10000000"/>
    <m/>
    <m/>
    <m/>
    <m/>
    <m/>
    <m/>
    <x v="16"/>
  </r>
  <r>
    <x v="1"/>
    <x v="12"/>
    <x v="561"/>
    <x v="4"/>
    <m/>
    <m/>
    <n v="3000000"/>
    <n v="3000000"/>
    <n v="11000000"/>
    <n v="14000000"/>
    <m/>
    <m/>
    <m/>
    <m/>
    <m/>
    <m/>
    <x v="16"/>
  </r>
  <r>
    <x v="1"/>
    <x v="12"/>
    <x v="562"/>
    <x v="4"/>
    <m/>
    <m/>
    <m/>
    <n v="0"/>
    <n v="11550000"/>
    <n v="11550000"/>
    <m/>
    <m/>
    <m/>
    <m/>
    <m/>
    <m/>
    <x v="16"/>
  </r>
  <r>
    <x v="1"/>
    <x v="12"/>
    <x v="563"/>
    <x v="4"/>
    <m/>
    <m/>
    <m/>
    <n v="0"/>
    <n v="7800000"/>
    <n v="7800000"/>
    <m/>
    <m/>
    <m/>
    <m/>
    <m/>
    <m/>
    <x v="16"/>
  </r>
  <r>
    <x v="1"/>
    <x v="12"/>
    <x v="564"/>
    <x v="4"/>
    <m/>
    <m/>
    <m/>
    <n v="0"/>
    <n v="11200000"/>
    <n v="11200000"/>
    <m/>
    <m/>
    <m/>
    <m/>
    <m/>
    <m/>
    <x v="16"/>
  </r>
  <r>
    <x v="1"/>
    <x v="12"/>
    <x v="565"/>
    <x v="0"/>
    <n v="21650686.809999999"/>
    <n v="-8457783.3300000001"/>
    <n v="-12552254.4"/>
    <n v="640649.07999999821"/>
    <n v="725845.92"/>
    <n v="1366494.9999999981"/>
    <m/>
    <n v="1366494.9999999981"/>
    <m/>
    <m/>
    <m/>
    <n v="0"/>
    <x v="18"/>
  </r>
  <r>
    <x v="1"/>
    <x v="12"/>
    <x v="566"/>
    <x v="0"/>
    <n v="22304595.41"/>
    <n v="-2092997.6800000002"/>
    <n v="-19617262.27"/>
    <n v="594335.46000000089"/>
    <m/>
    <n v="594335.46000000089"/>
    <m/>
    <n v="594335.46000000089"/>
    <m/>
    <m/>
    <m/>
    <n v="0"/>
    <x v="18"/>
  </r>
  <r>
    <x v="1"/>
    <x v="12"/>
    <x v="567"/>
    <x v="0"/>
    <m/>
    <m/>
    <m/>
    <n v="0"/>
    <m/>
    <n v="0"/>
    <m/>
    <n v="0"/>
    <n v="0"/>
    <n v="79851512"/>
    <n v="142993521"/>
    <n v="222845033"/>
    <x v="18"/>
  </r>
  <r>
    <x v="1"/>
    <x v="12"/>
    <x v="568"/>
    <x v="0"/>
    <m/>
    <m/>
    <m/>
    <n v="0"/>
    <m/>
    <n v="0"/>
    <m/>
    <n v="0"/>
    <n v="23233337"/>
    <n v="220338006"/>
    <n v="393289"/>
    <n v="243964632"/>
    <x v="18"/>
  </r>
  <r>
    <x v="1"/>
    <x v="12"/>
    <x v="569"/>
    <x v="0"/>
    <m/>
    <m/>
    <m/>
    <n v="0"/>
    <m/>
    <n v="0"/>
    <m/>
    <n v="0"/>
    <n v="0"/>
    <n v="14987362"/>
    <n v="180598343"/>
    <n v="195585705"/>
    <x v="18"/>
  </r>
  <r>
    <x v="1"/>
    <x v="12"/>
    <x v="570"/>
    <x v="4"/>
    <m/>
    <m/>
    <m/>
    <n v="0"/>
    <m/>
    <n v="0"/>
    <m/>
    <m/>
    <m/>
    <m/>
    <n v="21782125"/>
    <s v="AFUDC NOT IN SERVICE BY 2027"/>
    <x v="16"/>
  </r>
  <r>
    <x v="1"/>
    <x v="12"/>
    <x v="571"/>
    <x v="1"/>
    <n v="61236.209999999985"/>
    <n v="-61236.210000000014"/>
    <m/>
    <n v="0"/>
    <n v="0.04"/>
    <n v="0.04"/>
    <m/>
    <m/>
    <m/>
    <m/>
    <m/>
    <m/>
    <x v="8"/>
  </r>
  <r>
    <x v="1"/>
    <x v="12"/>
    <x v="572"/>
    <x v="1"/>
    <n v="4796366.5600000005"/>
    <n v="-4796366.5599999996"/>
    <m/>
    <n v="0"/>
    <m/>
    <n v="0"/>
    <m/>
    <m/>
    <m/>
    <m/>
    <m/>
    <m/>
    <x v="17"/>
  </r>
  <r>
    <x v="1"/>
    <x v="12"/>
    <x v="573"/>
    <x v="0"/>
    <m/>
    <n v="34.06"/>
    <m/>
    <n v="34.06"/>
    <m/>
    <n v="34.06"/>
    <m/>
    <n v="34.06"/>
    <m/>
    <m/>
    <m/>
    <n v="0"/>
    <x v="18"/>
  </r>
  <r>
    <x v="0"/>
    <x v="1"/>
    <x v="2"/>
    <x v="0"/>
    <n v="2563517.8800000004"/>
    <n v="3552399.7899999996"/>
    <m/>
    <n v="6115917.6699999999"/>
    <m/>
    <n v="6115917.6699999999"/>
    <m/>
    <n v="6115917.6699999999"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7F4A2C-2F7E-4D74-B873-780401F095B2}" name="PivotTable28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4:F66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h="1" x="3"/>
        <item h="1" x="1"/>
        <item x="0"/>
        <item x="2"/>
        <item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12">
    <i>
      <x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76">
      <pivotArea outline="0" collapsedLevelsAreSubtotals="1" fieldPosition="0"/>
    </format>
    <format dxfId="77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78">
      <pivotArea collapsedLevelsAreSubtotals="1" fieldPosition="0">
        <references count="1">
          <reference field="16" count="1">
            <x v="10"/>
          </reference>
        </references>
      </pivotArea>
    </format>
    <format dxfId="79">
      <pivotArea dataOnly="0" labelOnly="1" fieldPosition="0">
        <references count="1">
          <reference field="16" count="1">
            <x v="10"/>
          </reference>
        </references>
      </pivotArea>
    </format>
    <format dxfId="80">
      <pivotArea collapsedLevelsAreSubtotals="1" fieldPosition="0">
        <references count="1">
          <reference field="16" count="1">
            <x v="10"/>
          </reference>
        </references>
      </pivotArea>
    </format>
    <format dxfId="81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82">
      <pivotArea dataOnly="0" labelOnly="1" fieldPosition="0">
        <references count="1">
          <reference field="16" count="2">
            <x v="0"/>
            <x v="3"/>
          </reference>
        </references>
      </pivotArea>
    </format>
    <format dxfId="83">
      <pivotArea dataOnly="0" labelOnly="1" fieldPosition="0">
        <references count="1">
          <reference field="16" count="10">
            <x v="0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152305-FC7B-4173-97F3-CC0CA0D5A377}" name="PivotTable24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7:M10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x="3"/>
        <item h="1" x="1"/>
        <item h="1" x="0"/>
        <item h="1" x="2"/>
        <item h="1"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3">
    <i>
      <x v="7"/>
    </i>
    <i>
      <x v="1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68">
      <pivotArea outline="0" collapsedLevelsAreSubtotals="1" fieldPosition="0"/>
    </format>
    <format dxfId="69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70">
      <pivotArea collapsedLevelsAreSubtotals="1" fieldPosition="0">
        <references count="1">
          <reference field="16" count="1">
            <x v="10"/>
          </reference>
        </references>
      </pivotArea>
    </format>
    <format dxfId="71">
      <pivotArea dataOnly="0" labelOnly="1" fieldPosition="0">
        <references count="1">
          <reference field="16" count="1">
            <x v="10"/>
          </reference>
        </references>
      </pivotArea>
    </format>
    <format dxfId="72">
      <pivotArea collapsedLevelsAreSubtotals="1" fieldPosition="0">
        <references count="1">
          <reference field="16" count="1">
            <x v="10"/>
          </reference>
        </references>
      </pivotArea>
    </format>
    <format dxfId="73">
      <pivotArea dataOnly="0" labelOnly="1" fieldPosition="0">
        <references count="1">
          <reference field="16" count="1">
            <x v="10"/>
          </reference>
        </references>
      </pivotArea>
    </format>
    <format dxfId="74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75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FE41EA-F50E-47C2-B66E-3AE647175ABE}" name="PivotTable25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7:M23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h="1" x="3"/>
        <item h="1" x="1"/>
        <item h="1" x="0"/>
        <item x="2"/>
        <item h="1"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6">
    <i>
      <x/>
    </i>
    <i>
      <x v="8"/>
    </i>
    <i>
      <x v="9"/>
    </i>
    <i>
      <x v="16"/>
    </i>
    <i>
      <x v="1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60">
      <pivotArea outline="0" collapsedLevelsAreSubtotals="1" fieldPosition="0"/>
    </format>
    <format dxfId="61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62">
      <pivotArea collapsedLevelsAreSubtotals="1" fieldPosition="0">
        <references count="1">
          <reference field="16" count="1">
            <x v="10"/>
          </reference>
        </references>
      </pivotArea>
    </format>
    <format dxfId="63">
      <pivotArea dataOnly="0" labelOnly="1" fieldPosition="0">
        <references count="1">
          <reference field="16" count="1">
            <x v="10"/>
          </reference>
        </references>
      </pivotArea>
    </format>
    <format dxfId="64">
      <pivotArea collapsedLevelsAreSubtotals="1" fieldPosition="0">
        <references count="1">
          <reference field="16" count="1">
            <x v="10"/>
          </reference>
        </references>
      </pivotArea>
    </format>
    <format dxfId="65">
      <pivotArea dataOnly="0" labelOnly="1" fieldPosition="0">
        <references count="1">
          <reference field="16" count="1">
            <x v="10"/>
          </reference>
        </references>
      </pivotArea>
    </format>
    <format dxfId="66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67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BD554A-C253-4FCF-BDD0-4BA5ABF417A3}" name="PivotTable26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5:M44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h="1" x="3"/>
        <item h="1" x="1"/>
        <item x="0"/>
        <item h="1" x="2"/>
        <item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9"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52">
      <pivotArea outline="0" collapsedLevelsAreSubtotals="1" fieldPosition="0"/>
    </format>
    <format dxfId="53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54">
      <pivotArea collapsedLevelsAreSubtotals="1" fieldPosition="0">
        <references count="1">
          <reference field="16" count="1">
            <x v="10"/>
          </reference>
        </references>
      </pivotArea>
    </format>
    <format dxfId="55">
      <pivotArea dataOnly="0" labelOnly="1" fieldPosition="0">
        <references count="1">
          <reference field="16" count="1">
            <x v="10"/>
          </reference>
        </references>
      </pivotArea>
    </format>
    <format dxfId="56">
      <pivotArea collapsedLevelsAreSubtotals="1" fieldPosition="0">
        <references count="1">
          <reference field="16" count="1">
            <x v="10"/>
          </reference>
        </references>
      </pivotArea>
    </format>
    <format dxfId="57">
      <pivotArea dataOnly="0" labelOnly="1" fieldPosition="0">
        <references count="1">
          <reference field="16" count="1">
            <x v="10"/>
          </reference>
        </references>
      </pivotArea>
    </format>
    <format dxfId="58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59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BD4735-74B7-4DB6-B880-2E1391099ACD}" name="PivotTable27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5:F44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h="1" x="3"/>
        <item x="1"/>
        <item h="1" x="0"/>
        <item h="1" x="2"/>
        <item h="1"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h="1" m="1" x="20"/>
        <item t="default"/>
      </items>
    </pivotField>
  </pivotFields>
  <rowFields count="1">
    <field x="16"/>
  </rowFields>
  <rowItems count="9">
    <i>
      <x v="1"/>
    </i>
    <i>
      <x v="2"/>
    </i>
    <i>
      <x v="3"/>
    </i>
    <i>
      <x v="4"/>
    </i>
    <i>
      <x v="5"/>
    </i>
    <i>
      <x v="6"/>
    </i>
    <i>
      <x v="8"/>
    </i>
    <i>
      <x v="1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44">
      <pivotArea outline="0" collapsedLevelsAreSubtotals="1" fieldPosition="0"/>
    </format>
    <format dxfId="45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46">
      <pivotArea collapsedLevelsAreSubtotals="1" fieldPosition="0">
        <references count="1">
          <reference field="16" count="1">
            <x v="10"/>
          </reference>
        </references>
      </pivotArea>
    </format>
    <format dxfId="47">
      <pivotArea dataOnly="0" labelOnly="1" fieldPosition="0">
        <references count="1">
          <reference field="16" count="1">
            <x v="10"/>
          </reference>
        </references>
      </pivotArea>
    </format>
    <format dxfId="48">
      <pivotArea collapsedLevelsAreSubtotals="1" fieldPosition="0">
        <references count="1">
          <reference field="16" count="1">
            <x v="10"/>
          </reference>
        </references>
      </pivotArea>
    </format>
    <format dxfId="49">
      <pivotArea dataOnly="0" labelOnly="1" fieldPosition="0">
        <references count="1">
          <reference field="16" count="1">
            <x v="10"/>
          </reference>
        </references>
      </pivotArea>
    </format>
    <format dxfId="50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51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E15D3B-0AAA-4BCD-A6B4-ED338D90DE94}" name="PivotTable23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7:F28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x="3"/>
        <item x="1"/>
        <item x="0"/>
        <item x="2"/>
        <item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36">
      <pivotArea outline="0" collapsedLevelsAreSubtotals="1" fieldPosition="0"/>
    </format>
    <format dxfId="37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38">
      <pivotArea collapsedLevelsAreSubtotals="1" fieldPosition="0">
        <references count="1">
          <reference field="16" count="1">
            <x v="10"/>
          </reference>
        </references>
      </pivotArea>
    </format>
    <format dxfId="39">
      <pivotArea dataOnly="0" labelOnly="1" fieldPosition="0">
        <references count="1">
          <reference field="16" count="1">
            <x v="10"/>
          </reference>
        </references>
      </pivotArea>
    </format>
    <format dxfId="40">
      <pivotArea collapsedLevelsAreSubtotals="1" fieldPosition="0">
        <references count="1">
          <reference field="16" count="1">
            <x v="10"/>
          </reference>
        </references>
      </pivotArea>
    </format>
    <format dxfId="41">
      <pivotArea dataOnly="0" labelOnly="1" fieldPosition="0">
        <references count="1">
          <reference field="16" count="1">
            <x v="10"/>
          </reference>
        </references>
      </pivotArea>
    </format>
    <format dxfId="42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43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04DAEE-86FD-40DF-8789-20B62939FB78}" name="PivotTable23" cacheId="947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7:F23" firstHeaderRow="0" firstDataRow="1" firstDataCol="1" rowPageCount="3" colPageCount="1"/>
  <pivotFields count="17">
    <pivotField axis="axisPage" showAll="0">
      <items count="4">
        <item x="0"/>
        <item x="1"/>
        <item x="2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axis="axisRow" showAll="0">
      <items count="578">
        <item x="3"/>
        <item x="146"/>
        <item x="4"/>
        <item x="442"/>
        <item x="508"/>
        <item x="44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147"/>
        <item x="148"/>
        <item x="149"/>
        <item x="150"/>
        <item x="151"/>
        <item x="475"/>
        <item x="472"/>
        <item x="473"/>
        <item x="474"/>
        <item x="152"/>
        <item x="509"/>
        <item x="153"/>
        <item x="154"/>
        <item x="155"/>
        <item x="156"/>
        <item x="314"/>
        <item x="157"/>
        <item x="158"/>
        <item x="159"/>
        <item x="160"/>
        <item x="315"/>
        <item x="161"/>
        <item x="444"/>
        <item x="316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317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318"/>
        <item x="250"/>
        <item x="251"/>
        <item x="252"/>
        <item x="253"/>
        <item x="254"/>
        <item x="1"/>
        <item x="476"/>
        <item x="445"/>
        <item x="510"/>
        <item x="511"/>
        <item x="255"/>
        <item x="512"/>
        <item x="446"/>
        <item x="447"/>
        <item x="256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513"/>
        <item x="319"/>
        <item x="477"/>
        <item x="257"/>
        <item x="258"/>
        <item x="259"/>
        <item x="260"/>
        <item x="261"/>
        <item x="262"/>
        <item x="263"/>
        <item x="264"/>
        <item x="265"/>
        <item x="478"/>
        <item x="479"/>
        <item x="495"/>
        <item x="514"/>
        <item x="0"/>
        <item x="515"/>
        <item x="266"/>
        <item x="142"/>
        <item x="143"/>
        <item x="324"/>
        <item x="325"/>
        <item x="326"/>
        <item x="267"/>
        <item x="268"/>
        <item x="269"/>
        <item x="270"/>
        <item x="271"/>
        <item x="272"/>
        <item x="327"/>
        <item x="273"/>
        <item x="274"/>
        <item x="275"/>
        <item x="276"/>
        <item x="277"/>
        <item x="278"/>
        <item x="279"/>
        <item x="448"/>
        <item x="516"/>
        <item x="449"/>
        <item x="517"/>
        <item x="480"/>
        <item x="481"/>
        <item x="482"/>
        <item x="483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320"/>
        <item x="496"/>
        <item x="2"/>
        <item x="484"/>
        <item x="485"/>
        <item x="486"/>
        <item x="487"/>
        <item x="488"/>
        <item x="537"/>
        <item x="280"/>
        <item x="281"/>
        <item x="497"/>
        <item x="498"/>
        <item x="499"/>
        <item x="500"/>
        <item x="501"/>
        <item x="502"/>
        <item x="503"/>
        <item x="450"/>
        <item x="311"/>
        <item x="538"/>
        <item x="539"/>
        <item x="504"/>
        <item x="489"/>
        <item x="505"/>
        <item x="490"/>
        <item x="506"/>
        <item x="507"/>
        <item x="540"/>
        <item x="54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28"/>
        <item x="312"/>
        <item x="329"/>
        <item x="451"/>
        <item x="330"/>
        <item x="331"/>
        <item x="452"/>
        <item x="453"/>
        <item x="542"/>
        <item x="454"/>
        <item x="543"/>
        <item x="544"/>
        <item x="301"/>
        <item x="455"/>
        <item x="491"/>
        <item x="456"/>
        <item x="545"/>
        <item x="546"/>
        <item x="457"/>
        <item x="547"/>
        <item x="458"/>
        <item x="459"/>
        <item x="492"/>
        <item x="460"/>
        <item x="548"/>
        <item x="302"/>
        <item x="321"/>
        <item x="461"/>
        <item x="462"/>
        <item x="549"/>
        <item x="303"/>
        <item x="463"/>
        <item x="464"/>
        <item x="465"/>
        <item x="466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310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93"/>
        <item x="432"/>
        <item x="433"/>
        <item x="434"/>
        <item x="435"/>
        <item x="436"/>
        <item x="437"/>
        <item x="322"/>
        <item x="550"/>
        <item x="467"/>
        <item x="551"/>
        <item x="438"/>
        <item x="439"/>
        <item x="304"/>
        <item x="305"/>
        <item x="313"/>
        <item x="552"/>
        <item x="553"/>
        <item x="554"/>
        <item x="468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323"/>
        <item x="306"/>
        <item x="440"/>
        <item x="144"/>
        <item x="145"/>
        <item x="441"/>
        <item x="567"/>
        <item x="568"/>
        <item x="569"/>
        <item x="570"/>
        <item x="571"/>
        <item x="469"/>
        <item x="307"/>
        <item x="308"/>
        <item x="309"/>
        <item x="572"/>
        <item x="494"/>
        <item x="470"/>
        <item x="471"/>
        <item x="573"/>
        <item x="574"/>
        <item x="575"/>
        <item x="576"/>
        <item t="default"/>
      </items>
    </pivotField>
    <pivotField axis="axisPage" multipleItemSelectionAllowed="1" showAll="0">
      <items count="6">
        <item h="1" x="3"/>
        <item x="1"/>
        <item x="0"/>
        <item x="2"/>
        <item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1">
        <item h="1" sd="0" x="14"/>
        <item h="1" sd="0" x="3"/>
        <item h="1" sd="0" x="5"/>
        <item x="8"/>
        <item sd="0" x="2"/>
        <item h="1" sd="0" x="4"/>
        <item h="1" sd="0" x="13"/>
        <item h="1" sd="0" x="7"/>
        <item h="1" sd="0" x="17"/>
        <item sd="0" x="18"/>
        <item h="1" sd="0" x="16"/>
        <item h="1" sd="0" x="0"/>
        <item h="1" sd="0" x="1"/>
        <item h="1" sd="0" x="10"/>
        <item h="1" sd="0" x="11"/>
        <item h="1" sd="0" x="12"/>
        <item sd="0" x="15"/>
        <item h="1" x="9"/>
        <item h="1" x="6"/>
        <item sd="0" x="19"/>
        <item t="default"/>
      </items>
    </pivotField>
  </pivotFields>
  <rowFields count="2">
    <field x="16"/>
    <field x="2"/>
  </rowFields>
  <rowItems count="16">
    <i>
      <x v="3"/>
    </i>
    <i r="1">
      <x v="41"/>
    </i>
    <i r="1">
      <x v="46"/>
    </i>
    <i r="1">
      <x v="156"/>
    </i>
    <i r="1">
      <x v="274"/>
    </i>
    <i r="1">
      <x v="285"/>
    </i>
    <i r="1">
      <x v="359"/>
    </i>
    <i r="1">
      <x v="360"/>
    </i>
    <i r="1">
      <x v="361"/>
    </i>
    <i r="1">
      <x v="362"/>
    </i>
    <i r="1">
      <x v="364"/>
    </i>
    <i r="1">
      <x v="564"/>
    </i>
    <i>
      <x v="9"/>
    </i>
    <i>
      <x v="16"/>
    </i>
    <i>
      <x v="1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item="1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28">
      <pivotArea outline="0" collapsedLevelsAreSubtotals="1" fieldPosition="0"/>
    </format>
    <format dxfId="29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30">
      <pivotArea collapsedLevelsAreSubtotals="1" fieldPosition="0">
        <references count="1">
          <reference field="16" count="1">
            <x v="10"/>
          </reference>
        </references>
      </pivotArea>
    </format>
    <format dxfId="31">
      <pivotArea dataOnly="0" labelOnly="1" fieldPosition="0">
        <references count="1">
          <reference field="16" count="1">
            <x v="10"/>
          </reference>
        </references>
      </pivotArea>
    </format>
    <format dxfId="32">
      <pivotArea collapsedLevelsAreSubtotals="1" fieldPosition="0">
        <references count="1">
          <reference field="16" count="1">
            <x v="10"/>
          </reference>
        </references>
      </pivotArea>
    </format>
    <format dxfId="33">
      <pivotArea dataOnly="0" labelOnly="1" fieldPosition="0">
        <references count="1">
          <reference field="16" count="1">
            <x v="10"/>
          </reference>
        </references>
      </pivotArea>
    </format>
    <format dxfId="34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35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4B3FB0-0E68-4205-9B8E-3AAEC46B50DE}" name="PivotTable11" cacheId="94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4" firstHeaderRow="0" firstDataRow="1" firstDataCol="1" rowPageCount="1" colPageCount="1"/>
  <pivotFields count="17">
    <pivotField axis="axisRow" showAll="0">
      <items count="4">
        <item x="0"/>
        <item x="1"/>
        <item m="1" x="2"/>
        <item t="default"/>
      </items>
    </pivotField>
    <pivotField axis="axisRow" showAll="0">
      <items count="15">
        <item x="0"/>
        <item x="9"/>
        <item x="10"/>
        <item x="11"/>
        <item x="12"/>
        <item x="1"/>
        <item x="2"/>
        <item x="3"/>
        <item x="4"/>
        <item x="5"/>
        <item x="6"/>
        <item x="7"/>
        <item x="8"/>
        <item m="1" x="13"/>
        <item t="default"/>
      </items>
    </pivotField>
    <pivotField showAll="0"/>
    <pivotField axis="axisPage" multipleItemSelectionAllowed="1" showAll="0">
      <items count="7">
        <item x="4"/>
        <item x="2"/>
        <item x="0"/>
        <item h="1" x="3"/>
        <item h="1" x="1"/>
        <item h="1" m="1" x="5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11">
    <i>
      <x/>
    </i>
    <i r="1">
      <x/>
    </i>
    <i r="1">
      <x v="5"/>
    </i>
    <i r="1">
      <x v="6"/>
    </i>
    <i r="1">
      <x v="10"/>
    </i>
    <i r="1">
      <x v="11"/>
    </i>
    <i>
      <x v="1"/>
    </i>
    <i r="1">
      <x v="1"/>
    </i>
    <i r="1">
      <x v="2"/>
    </i>
    <i r="1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" hier="-1"/>
  </pageFields>
  <dataFields count="4">
    <dataField name="Sum of 2022" fld="4" baseField="0" baseItem="0"/>
    <dataField name="Sum of 2023" fld="5" baseField="0" baseItem="0"/>
    <dataField name="Sum of 2024" fld="6" baseField="0" baseItem="0"/>
    <dataField name="Sum of 2025" fld="8" baseField="0" baseItem="0"/>
  </dataFields>
  <formats count="7">
    <format dxfId="21">
      <pivotArea collapsedLevelsAreSubtotals="1" fieldPosition="0">
        <references count="1">
          <reference field="0" count="1">
            <x v="0"/>
          </reference>
        </references>
      </pivotArea>
    </format>
    <format dxfId="22">
      <pivotArea collapsedLevelsAreSubtotals="1" fieldPosition="0">
        <references count="2">
          <reference field="0" count="1" selected="0">
            <x v="0"/>
          </reference>
          <reference field="1" count="9">
            <x v="0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3">
      <pivotArea collapsedLevelsAreSubtotals="1" fieldPosition="0">
        <references count="1">
          <reference field="0" count="1">
            <x v="1"/>
          </reference>
        </references>
      </pivotArea>
    </format>
    <format dxfId="24">
      <pivotArea collapsedLevelsAreSubtotals="1" fieldPosition="0">
        <references count="2">
          <reference field="0" count="1" selected="0">
            <x v="1"/>
          </reference>
          <reference field="1" count="4">
            <x v="1"/>
            <x v="2"/>
            <x v="3"/>
            <x v="4"/>
          </reference>
        </references>
      </pivotArea>
    </format>
    <format dxfId="25">
      <pivotArea collapsedLevelsAreSubtotals="1" fieldPosition="0">
        <references count="1">
          <reference field="0" count="1">
            <x v="2"/>
          </reference>
        </references>
      </pivotArea>
    </format>
    <format dxfId="26">
      <pivotArea collapsedLevelsAreSubtotals="1" fieldPosition="0">
        <references count="2">
          <reference field="0" count="1" selected="0">
            <x v="2"/>
          </reference>
          <reference field="1" count="1">
            <x v="13"/>
          </reference>
        </references>
      </pivotArea>
    </format>
    <format dxfId="2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F374EB-91CE-4EAA-AA0C-B3819B212123}" name="PivotTable11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6" firstHeaderRow="0" firstDataRow="1" firstDataCol="1" rowPageCount="1" colPageCount="1"/>
  <pivotFields count="17">
    <pivotField axis="axisRow" showAll="0">
      <items count="3">
        <item sd="0" x="0"/>
        <item sd="0" x="1"/>
        <item t="default"/>
      </items>
    </pivotField>
    <pivotField axis="axisRow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 sd="0"/>
      </items>
    </pivotField>
    <pivotField axis="axisRow" showAll="0">
      <items count="575">
        <item x="3"/>
        <item x="146"/>
        <item x="4"/>
        <item x="442"/>
        <item x="508"/>
        <item x="44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147"/>
        <item x="148"/>
        <item x="149"/>
        <item x="150"/>
        <item x="151"/>
        <item x="475"/>
        <item x="472"/>
        <item x="473"/>
        <item x="474"/>
        <item x="152"/>
        <item x="509"/>
        <item x="153"/>
        <item x="154"/>
        <item x="155"/>
        <item x="156"/>
        <item x="314"/>
        <item x="157"/>
        <item x="158"/>
        <item x="159"/>
        <item x="160"/>
        <item x="315"/>
        <item x="161"/>
        <item x="444"/>
        <item x="316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317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318"/>
        <item x="250"/>
        <item x="251"/>
        <item x="252"/>
        <item x="253"/>
        <item x="254"/>
        <item x="1"/>
        <item x="476"/>
        <item x="445"/>
        <item x="510"/>
        <item x="511"/>
        <item x="255"/>
        <item x="512"/>
        <item x="446"/>
        <item x="447"/>
        <item x="256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513"/>
        <item x="319"/>
        <item x="477"/>
        <item x="257"/>
        <item x="258"/>
        <item x="259"/>
        <item x="260"/>
        <item x="261"/>
        <item x="262"/>
        <item x="263"/>
        <item x="264"/>
        <item x="265"/>
        <item x="478"/>
        <item x="479"/>
        <item x="495"/>
        <item x="514"/>
        <item x="0"/>
        <item x="515"/>
        <item x="266"/>
        <item x="142"/>
        <item x="143"/>
        <item x="324"/>
        <item x="325"/>
        <item x="326"/>
        <item x="267"/>
        <item x="268"/>
        <item x="269"/>
        <item x="270"/>
        <item x="271"/>
        <item x="272"/>
        <item x="327"/>
        <item x="273"/>
        <item x="274"/>
        <item x="275"/>
        <item x="276"/>
        <item x="277"/>
        <item x="278"/>
        <item x="279"/>
        <item x="448"/>
        <item x="516"/>
        <item x="449"/>
        <item x="517"/>
        <item x="480"/>
        <item x="481"/>
        <item x="482"/>
        <item x="483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320"/>
        <item x="496"/>
        <item x="2"/>
        <item x="484"/>
        <item x="485"/>
        <item x="486"/>
        <item x="487"/>
        <item x="488"/>
        <item x="537"/>
        <item x="280"/>
        <item x="281"/>
        <item x="497"/>
        <item x="498"/>
        <item x="499"/>
        <item x="500"/>
        <item x="501"/>
        <item x="502"/>
        <item x="503"/>
        <item x="450"/>
        <item x="311"/>
        <item x="538"/>
        <item x="539"/>
        <item x="504"/>
        <item x="489"/>
        <item x="505"/>
        <item x="490"/>
        <item x="506"/>
        <item x="507"/>
        <item x="540"/>
        <item x="54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28"/>
        <item x="312"/>
        <item x="329"/>
        <item x="451"/>
        <item x="330"/>
        <item x="331"/>
        <item x="452"/>
        <item x="453"/>
        <item x="542"/>
        <item x="454"/>
        <item x="543"/>
        <item x="544"/>
        <item x="301"/>
        <item x="455"/>
        <item x="491"/>
        <item x="456"/>
        <item x="545"/>
        <item x="546"/>
        <item x="457"/>
        <item x="547"/>
        <item x="458"/>
        <item x="459"/>
        <item x="492"/>
        <item x="460"/>
        <item x="548"/>
        <item x="302"/>
        <item x="321"/>
        <item x="461"/>
        <item x="462"/>
        <item x="549"/>
        <item x="303"/>
        <item x="463"/>
        <item x="464"/>
        <item x="465"/>
        <item x="466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310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93"/>
        <item x="432"/>
        <item x="433"/>
        <item x="434"/>
        <item x="435"/>
        <item x="436"/>
        <item x="437"/>
        <item x="322"/>
        <item x="550"/>
        <item x="467"/>
        <item x="551"/>
        <item x="438"/>
        <item x="439"/>
        <item x="304"/>
        <item x="305"/>
        <item x="313"/>
        <item x="552"/>
        <item x="553"/>
        <item x="554"/>
        <item x="468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323"/>
        <item x="306"/>
        <item x="440"/>
        <item x="144"/>
        <item x="145"/>
        <item x="441"/>
        <item x="567"/>
        <item x="568"/>
        <item x="569"/>
        <item x="570"/>
        <item x="571"/>
        <item x="469"/>
        <item x="307"/>
        <item x="308"/>
        <item x="309"/>
        <item x="572"/>
        <item x="494"/>
        <item x="470"/>
        <item x="471"/>
        <item x="573"/>
        <item t="default"/>
      </items>
    </pivotField>
    <pivotField axis="axisPage" multipleItemSelectionAllowed="1" showAll="0">
      <items count="6">
        <item h="1" x="4"/>
        <item h="1" x="2"/>
        <item h="1" x="0"/>
        <item h="1" x="3"/>
        <item x="1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0"/>
    <field x="1"/>
    <field x="2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" hier="-1"/>
  </pageFields>
  <dataFields count="4">
    <dataField name="Sum of 2022" fld="4" baseField="0" baseItem="0"/>
    <dataField name="Sum of 2023" fld="5" baseField="0" baseItem="0"/>
    <dataField name="Sum of 2024" fld="6" baseField="0" baseItem="0"/>
    <dataField name="Sum of 2025" fld="8" baseField="0" baseItem="0"/>
  </dataFields>
  <formats count="20">
    <format dxfId="1">
      <pivotArea collapsedLevelsAreSubtotals="1" fieldPosition="0">
        <references count="1">
          <reference field="0" count="1">
            <x v="0"/>
          </reference>
        </references>
      </pivotArea>
    </format>
    <format dxfId="2">
      <pivotArea collapsedLevelsAreSubtotals="1" fieldPosition="0">
        <references count="2">
          <reference field="0" count="1" selected="0">
            <x v="0"/>
          </reference>
          <reference field="1" count="9">
            <x v="0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">
      <pivotArea collapsedLevelsAreSubtotals="1" fieldPosition="0">
        <references count="1">
          <reference field="0" count="1">
            <x v="1"/>
          </reference>
        </references>
      </pivotArea>
    </format>
    <format dxfId="4">
      <pivotArea collapsedLevelsAreSubtotals="1" fieldPosition="0">
        <references count="2">
          <reference field="0" count="1" selected="0">
            <x v="1"/>
          </reference>
          <reference field="1" count="4">
            <x v="1"/>
            <x v="2"/>
            <x v="3"/>
            <x v="4"/>
          </reference>
        </references>
      </pivotArea>
    </format>
    <format dxfId="5">
      <pivotArea outline="0" collapsedLevelsAreSubtotals="1" fieldPosition="0"/>
    </format>
    <format dxfId="6">
      <pivotArea collapsedLevelsAreSubtotals="1" fieldPosition="0">
        <references count="2">
          <reference field="0" count="1" selected="0">
            <x v="1"/>
          </reference>
          <reference field="1" count="3">
            <x v="2"/>
            <x v="3"/>
            <x v="4"/>
          </reference>
        </references>
      </pivotArea>
    </format>
    <format dxfId="7">
      <pivotArea collapsedLevelsAreSubtotals="1" fieldPosition="0">
        <references count="2">
          <reference field="0" count="1" selected="0">
            <x v="0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8">
      <pivotArea collapsedLevelsAreSubtotals="1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9">
      <pivotArea collapsedLevelsAreSubtotals="1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10">
      <pivotArea collapsedLevelsAreSubtotals="1" fieldPosition="0">
        <references count="2">
          <reference field="0" count="1" selected="0">
            <x v="0"/>
          </reference>
          <reference field="1" count="1">
            <x v="9"/>
          </reference>
        </references>
      </pivotArea>
    </format>
    <format dxfId="11">
      <pivotArea collapsedLevelsAreSubtotals="1" fieldPosition="0">
        <references count="2">
          <reference field="0" count="1" selected="0">
            <x v="0"/>
          </reference>
          <reference field="1" count="1">
            <x v="10"/>
          </reference>
        </references>
      </pivotArea>
    </format>
    <format dxfId="12">
      <pivotArea collapsedLevelsAreSubtotals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13">
      <pivotArea collapsedLevelsAreSubtotals="1" fieldPosition="0">
        <references count="2">
          <reference field="0" count="1" selected="0">
            <x v="0"/>
          </reference>
          <reference field="1" count="1">
            <x v="12"/>
          </reference>
        </references>
      </pivotArea>
    </format>
    <format dxfId="14">
      <pivotArea collapsedLevelsAreSubtotals="1" fieldPosition="0">
        <references count="1">
          <reference field="0" count="1">
            <x v="1"/>
          </reference>
        </references>
      </pivotArea>
    </format>
    <format dxfId="15">
      <pivotArea collapsedLevelsAreSubtotals="1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">
      <pivotArea collapsedLevelsAreSubtotals="1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17">
      <pivotArea collapsedLevelsAreSubtotals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8">
      <pivotArea dataOnly="0" labelOnly="1" fieldPosition="0">
        <references count="1">
          <reference field="0" count="1">
            <x v="1"/>
          </reference>
        </references>
      </pivotArea>
    </format>
    <format dxfId="19">
      <pivotArea dataOnly="0" labelOnly="1" fieldPosition="0">
        <references count="2">
          <reference field="0" count="1" selected="0">
            <x v="0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20">
      <pivotArea dataOnly="0" labelOnly="1" fieldPosition="0">
        <references count="2">
          <reference field="0" count="1" selected="0">
            <x v="1"/>
          </reference>
          <reference field="1" count="3"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.bin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0C8A-0A86-4469-B485-B3D63CF78075}">
  <sheetPr>
    <pageSetUpPr fitToPage="1"/>
  </sheetPr>
  <dimension ref="A1:N46"/>
  <sheetViews>
    <sheetView tabSelected="1" zoomScale="79" zoomScaleNormal="100" workbookViewId="0">
      <selection activeCell="E45" sqref="E45"/>
    </sheetView>
  </sheetViews>
  <sheetFormatPr defaultRowHeight="15"/>
  <cols>
    <col min="1" max="1" width="33.85546875" style="1" bestFit="1" customWidth="1"/>
    <col min="2" max="2" width="1.5703125" customWidth="1"/>
    <col min="3" max="5" width="16" customWidth="1"/>
    <col min="6" max="6" width="16" style="1" customWidth="1"/>
    <col min="7" max="7" width="16" customWidth="1"/>
    <col min="8" max="8" width="16" style="1" customWidth="1"/>
    <col min="9" max="9" width="14" bestFit="1" customWidth="1"/>
    <col min="10" max="12" width="12.85546875" bestFit="1" customWidth="1"/>
    <col min="14" max="14" width="12.85546875" bestFit="1" customWidth="1"/>
  </cols>
  <sheetData>
    <row r="1" spans="1:14" ht="18.75">
      <c r="A1" s="68" t="s">
        <v>0</v>
      </c>
      <c r="B1" s="68"/>
      <c r="C1" s="68"/>
      <c r="D1" s="68"/>
      <c r="E1" s="68"/>
      <c r="F1" s="68"/>
      <c r="G1" s="68"/>
      <c r="H1" s="68"/>
    </row>
    <row r="2" spans="1:14" ht="15.75">
      <c r="A2" s="67" t="s">
        <v>1</v>
      </c>
      <c r="B2" s="67"/>
      <c r="C2" s="67"/>
      <c r="D2" s="67"/>
      <c r="E2" s="67"/>
      <c r="F2" s="67"/>
      <c r="G2" s="67"/>
      <c r="H2" s="67"/>
    </row>
    <row r="3" spans="1:14">
      <c r="C3" s="2">
        <v>2022</v>
      </c>
      <c r="D3" s="2">
        <v>2023</v>
      </c>
      <c r="E3" s="2">
        <v>2024</v>
      </c>
      <c r="F3" s="2" t="s">
        <v>2</v>
      </c>
      <c r="G3" s="2">
        <v>2025</v>
      </c>
      <c r="H3" s="2" t="s">
        <v>3</v>
      </c>
    </row>
    <row r="4" spans="1:14">
      <c r="A4" s="1" t="s">
        <v>4</v>
      </c>
      <c r="C4" s="3">
        <f>GETPIVOTDATA("Sum of 2022",'Aldazabal Project Summary'!$A$7)</f>
        <v>521316096.48999995</v>
      </c>
      <c r="D4" s="3">
        <f>GETPIVOTDATA("Sum of 2023",'Aldazabal Project Summary'!$A$7)</f>
        <v>701322870.36000001</v>
      </c>
      <c r="E4" s="3">
        <f>GETPIVOTDATA("Sum of 2024",'Aldazabal Project Summary'!$A$7)</f>
        <v>730475643.81999993</v>
      </c>
      <c r="F4" s="6">
        <f>+SUM(C4:E4)</f>
        <v>1953114610.6699998</v>
      </c>
      <c r="G4" s="3">
        <f>GETPIVOTDATA("Sum of 2025",'Aldazabal Project Summary'!$A$7)</f>
        <v>845454014.94000006</v>
      </c>
      <c r="H4" s="6">
        <f>+F4+G4</f>
        <v>2798568625.6099997</v>
      </c>
      <c r="I4" s="13"/>
    </row>
    <row r="5" spans="1:14" ht="9" customHeight="1">
      <c r="C5" s="3"/>
      <c r="D5" s="3"/>
      <c r="E5" s="3"/>
      <c r="F5" s="6"/>
      <c r="G5" s="3"/>
      <c r="H5" s="6"/>
    </row>
    <row r="6" spans="1:14">
      <c r="A6" s="7" t="s">
        <v>5</v>
      </c>
      <c r="C6" s="3">
        <f>-GETPIVOTDATA("Sum of 2022",'Aldazabal Project Summary'!$H$7,"BUCKET","ECRC CLAUSE")</f>
        <v>-6692230.4199999999</v>
      </c>
      <c r="D6" s="3">
        <f>-GETPIVOTDATA("Sum of 2023",'Aldazabal Project Summary'!$H$7,"BUCKET","ECRC CLAUSE")</f>
        <v>-22688019.729999997</v>
      </c>
      <c r="E6" s="3">
        <f>-GETPIVOTDATA("Sum of 2024",'Aldazabal Project Summary'!$H$7,"BUCKET","ECRC CLAUSE")</f>
        <v>-6875767</v>
      </c>
      <c r="F6" s="6">
        <f>+SUM(C6:E6)</f>
        <v>-36256017.149999999</v>
      </c>
      <c r="G6" s="3">
        <f>-GETPIVOTDATA("Sum of 2025",'Aldazabal Project Summary'!$H$7,"BUCKET","ECRC CLAUSE")</f>
        <v>0</v>
      </c>
      <c r="H6" s="6">
        <f>+F6+G6</f>
        <v>-36256017.149999999</v>
      </c>
      <c r="I6" s="13"/>
      <c r="J6" s="13"/>
      <c r="K6" s="13"/>
      <c r="L6" s="13"/>
      <c r="N6" s="13"/>
    </row>
    <row r="7" spans="1:14">
      <c r="A7" s="7" t="s">
        <v>6</v>
      </c>
      <c r="C7" s="3">
        <f>-GETPIVOTDATA("Sum of 2022",'Aldazabal Project Summary'!$H$7,"BUCKET","CETM")</f>
        <v>-11367712.030000001</v>
      </c>
      <c r="D7" s="3">
        <f>-GETPIVOTDATA("Sum of 2023",'Aldazabal Project Summary'!$H$7,"BUCKET","CETM")</f>
        <v>-42987391.480000004</v>
      </c>
      <c r="E7" s="3">
        <f>-GETPIVOTDATA("Sum of 2024",'Aldazabal Project Summary'!$H$7,"BUCKET","CETM")</f>
        <v>-23656329</v>
      </c>
      <c r="F7" s="6">
        <f t="shared" ref="F7:F8" si="0">+SUM(C7:E7)</f>
        <v>-78011432.510000005</v>
      </c>
      <c r="G7" s="3">
        <f>-GETPIVOTDATA("Sum of 2025",'Aldazabal Project Summary'!$H$7,"BUCKET","CETM")</f>
        <v>-33255933</v>
      </c>
      <c r="H7" s="6">
        <f t="shared" ref="H7:H8" si="1">+F7+G7</f>
        <v>-111267365.51000001</v>
      </c>
      <c r="I7" s="13"/>
      <c r="J7" s="13"/>
      <c r="K7" s="13"/>
      <c r="L7" s="13"/>
      <c r="N7" s="13"/>
    </row>
    <row r="8" spans="1:14">
      <c r="A8" s="7" t="s">
        <v>7</v>
      </c>
      <c r="C8" s="3">
        <f>-'Aldazabal Project Summary'!I25</f>
        <v>-282169755.88</v>
      </c>
      <c r="D8" s="3">
        <f>-'Aldazabal Project Summary'!J25</f>
        <v>-188505812.02999997</v>
      </c>
      <c r="E8" s="3">
        <f>-'Aldazabal Project Summary'!K25</f>
        <v>-4131097.4</v>
      </c>
      <c r="F8" s="6">
        <f t="shared" si="0"/>
        <v>-474806665.30999994</v>
      </c>
      <c r="G8" s="3">
        <f>-'Aldazabal Project Summary'!M25</f>
        <v>0</v>
      </c>
      <c r="H8" s="6">
        <f t="shared" si="1"/>
        <v>-474806665.30999994</v>
      </c>
      <c r="I8" s="3"/>
      <c r="J8" s="13"/>
      <c r="K8" s="13"/>
      <c r="L8" s="13"/>
      <c r="N8" s="13"/>
    </row>
    <row r="9" spans="1:14">
      <c r="A9" s="8" t="s">
        <v>8</v>
      </c>
      <c r="B9" s="9"/>
      <c r="C9" s="10">
        <f>-'Aldazabal Project Summary'!B77</f>
        <v>-114728718</v>
      </c>
      <c r="D9" s="10">
        <f>-'Aldazabal Project Summary'!C77</f>
        <v>-292670429.87</v>
      </c>
      <c r="E9" s="10">
        <f>-'Aldazabal Project Summary'!D77</f>
        <v>-569236729.03999996</v>
      </c>
      <c r="F9" s="11">
        <f>+SUM(C9:E9)</f>
        <v>-976635876.90999997</v>
      </c>
      <c r="G9" s="10">
        <f>-'Aldazabal Project Summary'!F77</f>
        <v>-653875008.17999995</v>
      </c>
      <c r="H9" s="11">
        <f>+F9+G9</f>
        <v>-1630510885.0899999</v>
      </c>
      <c r="J9" s="13"/>
      <c r="K9" s="13"/>
      <c r="L9" s="13"/>
      <c r="N9" s="13"/>
    </row>
    <row r="10" spans="1:14">
      <c r="A10" s="1" t="s">
        <v>9</v>
      </c>
      <c r="C10" s="6">
        <f>+SUM(C4:C9)</f>
        <v>106357680.15999997</v>
      </c>
      <c r="D10" s="6">
        <f t="shared" ref="D10:H10" si="2">+SUM(D4:D9)</f>
        <v>154471217.25</v>
      </c>
      <c r="E10" s="6">
        <f t="shared" si="2"/>
        <v>126575721.38</v>
      </c>
      <c r="F10" s="6">
        <f t="shared" si="2"/>
        <v>387404618.78999984</v>
      </c>
      <c r="G10" s="6">
        <f t="shared" si="2"/>
        <v>158323073.76000011</v>
      </c>
      <c r="H10" s="6">
        <f t="shared" si="2"/>
        <v>545727692.54999948</v>
      </c>
      <c r="I10" s="13"/>
    </row>
    <row r="12" spans="1:14">
      <c r="A12" s="12" t="s">
        <v>10</v>
      </c>
    </row>
    <row r="13" spans="1:14">
      <c r="A13" s="7" t="str">
        <f>'Aldazabal Project Summary'!A36</f>
        <v>BLANKETS</v>
      </c>
      <c r="C13" s="3">
        <f>'Aldazabal Project Summary'!B36</f>
        <v>18239968.930000003</v>
      </c>
      <c r="D13" s="3">
        <f>'Aldazabal Project Summary'!C36</f>
        <v>30784667.910000004</v>
      </c>
      <c r="E13" s="3">
        <f>'Aldazabal Project Summary'!D36</f>
        <v>16616272</v>
      </c>
      <c r="F13" s="6">
        <f t="shared" ref="F13:F21" si="3">+SUM(C13:E13)</f>
        <v>65640908.840000004</v>
      </c>
      <c r="G13" s="3">
        <f>'Aldazabal Project Summary'!F36</f>
        <v>21780347.879999999</v>
      </c>
      <c r="H13" s="6">
        <f t="shared" ref="H13:H20" si="4">+F13+G13</f>
        <v>87421256.719999999</v>
      </c>
    </row>
    <row r="14" spans="1:14">
      <c r="A14" s="7" t="str">
        <f>'Aldazabal Project Summary'!A37</f>
        <v>BUILDING RENOVATION CAPITAL</v>
      </c>
      <c r="C14" s="3">
        <f>'Aldazabal Project Summary'!B37</f>
        <v>6628123.4500000002</v>
      </c>
      <c r="D14" s="3">
        <f>'Aldazabal Project Summary'!C37</f>
        <v>13220111.57</v>
      </c>
      <c r="E14" s="3">
        <f>'Aldazabal Project Summary'!D37</f>
        <v>20362978.449999999</v>
      </c>
      <c r="F14" s="6">
        <f t="shared" si="3"/>
        <v>40211213.469999999</v>
      </c>
      <c r="G14" s="3">
        <f>'Aldazabal Project Summary'!F37</f>
        <v>8437405.0399999991</v>
      </c>
      <c r="H14" s="6">
        <f t="shared" si="4"/>
        <v>48648618.509999998</v>
      </c>
    </row>
    <row r="15" spans="1:14">
      <c r="A15" s="7" t="str">
        <f>'Aldazabal Project Summary'!A38</f>
        <v>OTHER</v>
      </c>
      <c r="C15" s="3">
        <f>'Aldazabal Project Summary'!B38</f>
        <v>4641155.8600000003</v>
      </c>
      <c r="D15" s="3">
        <f>'Aldazabal Project Summary'!C38</f>
        <v>1530447.6299999997</v>
      </c>
      <c r="E15" s="3">
        <f>'Aldazabal Project Summary'!D38</f>
        <v>9426741</v>
      </c>
      <c r="F15" s="6">
        <f t="shared" si="3"/>
        <v>15598344.49</v>
      </c>
      <c r="G15" s="3">
        <f>'Aldazabal Project Summary'!F38</f>
        <v>17055632.079999998</v>
      </c>
      <c r="H15" s="6">
        <f t="shared" si="4"/>
        <v>32653976.57</v>
      </c>
    </row>
    <row r="16" spans="1:14">
      <c r="A16" s="7" t="str">
        <f>'Aldazabal Project Summary'!A39</f>
        <v>OUTAGE</v>
      </c>
      <c r="C16" s="3">
        <f>'Aldazabal Project Summary'!B39</f>
        <v>44033046.539999992</v>
      </c>
      <c r="D16" s="3">
        <f>'Aldazabal Project Summary'!C39</f>
        <v>73716115.330000013</v>
      </c>
      <c r="E16" s="3">
        <f>'Aldazabal Project Summary'!D39</f>
        <v>48362415.030000001</v>
      </c>
      <c r="F16" s="6">
        <f t="shared" si="3"/>
        <v>166111576.90000001</v>
      </c>
      <c r="G16" s="3">
        <f>'Aldazabal Project Summary'!F39</f>
        <v>67550865.209999993</v>
      </c>
      <c r="H16" s="6">
        <f t="shared" si="4"/>
        <v>233662442.11000001</v>
      </c>
    </row>
    <row r="17" spans="1:9">
      <c r="A17" s="7" t="str">
        <f>'Aldazabal Project Summary'!A40</f>
        <v>PLANT IMPROVEMENT (NON-OUTAGE)</v>
      </c>
      <c r="C17" s="3">
        <f>'Aldazabal Project Summary'!B40</f>
        <v>25060743.870000001</v>
      </c>
      <c r="D17" s="3">
        <f>'Aldazabal Project Summary'!C40</f>
        <v>33938889.269999996</v>
      </c>
      <c r="E17" s="3">
        <f>'Aldazabal Project Summary'!D40</f>
        <v>28714146.900000006</v>
      </c>
      <c r="F17" s="6">
        <f>+SUM(C17:E17)</f>
        <v>87713780.040000007</v>
      </c>
      <c r="G17" s="3">
        <f>'Aldazabal Project Summary'!F40</f>
        <v>33320408.549999997</v>
      </c>
      <c r="H17" s="6">
        <f>+F17+G17</f>
        <v>121034188.59</v>
      </c>
    </row>
    <row r="18" spans="1:9">
      <c r="A18" s="7" t="str">
        <f>'Aldazabal Project Summary'!A41</f>
        <v>SOLAR OPERATIONS</v>
      </c>
      <c r="C18" s="3">
        <f>'Aldazabal Project Summary'!B41</f>
        <v>2607391.5199999996</v>
      </c>
      <c r="D18" s="3">
        <f>'Aldazabal Project Summary'!C41</f>
        <v>6044795.5799999991</v>
      </c>
      <c r="E18" s="3">
        <f>'Aldazabal Project Summary'!D41</f>
        <v>3093168</v>
      </c>
      <c r="F18" s="6">
        <f t="shared" ref="F18:F20" si="5">+SUM(C18:E18)</f>
        <v>11745355.099999998</v>
      </c>
      <c r="G18" s="3">
        <f>'Aldazabal Project Summary'!F41</f>
        <v>4178415</v>
      </c>
      <c r="H18" s="6">
        <f t="shared" ref="H18:H19" si="6">+F18+G18</f>
        <v>15923770.099999998</v>
      </c>
    </row>
    <row r="19" spans="1:9">
      <c r="A19" s="7" t="str">
        <f>'Aldazabal Project Summary'!A42</f>
        <v>SOLAR</v>
      </c>
      <c r="C19" s="3">
        <f>'Aldazabal Project Summary'!B42</f>
        <v>5147249.99</v>
      </c>
      <c r="D19" s="3">
        <f>'Aldazabal Project Summary'!C42</f>
        <v>-4763810.04</v>
      </c>
      <c r="E19" s="3">
        <f>'Aldazabal Project Summary'!D42</f>
        <v>0</v>
      </c>
      <c r="F19" s="6">
        <f t="shared" si="5"/>
        <v>383439.95000000019</v>
      </c>
      <c r="G19" s="3">
        <f>'Aldazabal Project Summary'!F42</f>
        <v>0</v>
      </c>
      <c r="H19" s="6">
        <f t="shared" si="6"/>
        <v>383439.95000000019</v>
      </c>
    </row>
    <row r="20" spans="1:9">
      <c r="A20" s="8" t="str">
        <f>'Aldazabal Project Summary'!A43</f>
        <v>FUTURE SOLAR LAND</v>
      </c>
      <c r="B20" s="9"/>
      <c r="C20" s="10">
        <f>'Aldazabal Project Summary'!B43</f>
        <v>0</v>
      </c>
      <c r="D20" s="10">
        <f>'Aldazabal Project Summary'!C43</f>
        <v>0</v>
      </c>
      <c r="E20" s="10">
        <f>'Aldazabal Project Summary'!D43</f>
        <v>0</v>
      </c>
      <c r="F20" s="11">
        <f t="shared" si="5"/>
        <v>0</v>
      </c>
      <c r="G20" s="10">
        <f>'Aldazabal Project Summary'!F43</f>
        <v>6000000</v>
      </c>
      <c r="H20" s="11">
        <f t="shared" si="4"/>
        <v>6000000</v>
      </c>
    </row>
    <row r="21" spans="1:9">
      <c r="A21" s="5" t="s">
        <v>11</v>
      </c>
      <c r="C21" s="6">
        <f>+SUM(C13:C20)</f>
        <v>106357680.16</v>
      </c>
      <c r="D21" s="6">
        <f>+SUM(D13:D20)</f>
        <v>154471217.25000006</v>
      </c>
      <c r="E21" s="6">
        <f>+SUM(E13:E20)</f>
        <v>126575721.38000001</v>
      </c>
      <c r="F21" s="6">
        <f t="shared" si="3"/>
        <v>387404618.79000008</v>
      </c>
      <c r="G21" s="6">
        <f>+SUM(G13:G20)</f>
        <v>158323073.75999999</v>
      </c>
      <c r="H21" s="6">
        <f>+F21+G21</f>
        <v>545727692.55000007</v>
      </c>
    </row>
    <row r="22" spans="1:9">
      <c r="A22" s="5"/>
      <c r="C22" s="3">
        <f>+C21-C10</f>
        <v>0</v>
      </c>
      <c r="D22" s="3">
        <f t="shared" ref="D22:H22" si="7">+D21-D10</f>
        <v>0</v>
      </c>
      <c r="E22" s="3">
        <f t="shared" si="7"/>
        <v>0</v>
      </c>
      <c r="F22" s="3">
        <f t="shared" si="7"/>
        <v>0</v>
      </c>
      <c r="G22" s="3">
        <f t="shared" si="7"/>
        <v>0</v>
      </c>
      <c r="H22" s="3">
        <f t="shared" si="7"/>
        <v>0</v>
      </c>
    </row>
    <row r="23" spans="1:9">
      <c r="A23" s="5"/>
      <c r="C23" s="3"/>
      <c r="D23" s="3"/>
      <c r="E23" s="3"/>
      <c r="F23" s="3"/>
      <c r="G23" s="3"/>
      <c r="H23" s="3"/>
    </row>
    <row r="24" spans="1:9">
      <c r="A24" s="12" t="s">
        <v>12</v>
      </c>
    </row>
    <row r="25" spans="1:9">
      <c r="A25" s="4" t="s">
        <v>13</v>
      </c>
      <c r="B25" s="41"/>
      <c r="C25" s="41">
        <f>-'Aldazabal Project Summary'!I47</f>
        <v>43357326.140000008</v>
      </c>
      <c r="D25" s="41">
        <f>-'Aldazabal Project Summary'!J47</f>
        <v>197981078.47000009</v>
      </c>
      <c r="E25" s="41">
        <f>-'Aldazabal Project Summary'!K47</f>
        <v>317523226.89999998</v>
      </c>
      <c r="F25" s="6">
        <f t="shared" ref="F25:F28" si="8">+SUM(C25:E25)</f>
        <v>558861631.51000011</v>
      </c>
      <c r="G25" s="41">
        <f>-'Aldazabal Project Summary'!M47</f>
        <v>200983090.07999998</v>
      </c>
      <c r="H25" s="6">
        <f t="shared" ref="H25:H28" si="9">+F25+G25</f>
        <v>759844721.59000015</v>
      </c>
      <c r="I25" s="13">
        <f>H25+'Aldazabal Project Summary'!L47+'Aldazabal Project Summary'!M47</f>
        <v>0</v>
      </c>
    </row>
    <row r="26" spans="1:9">
      <c r="A26" s="4" t="s">
        <v>14</v>
      </c>
      <c r="B26" s="41"/>
      <c r="C26" s="41">
        <f>'Aldazabal Project Summary'!B71</f>
        <v>46840599.589999996</v>
      </c>
      <c r="D26" s="41">
        <f>'Aldazabal Project Summary'!C71</f>
        <v>90283071.629999995</v>
      </c>
      <c r="E26" s="41">
        <f>'Aldazabal Project Summary'!D71</f>
        <v>235661381.14000005</v>
      </c>
      <c r="F26" s="6">
        <f t="shared" si="8"/>
        <v>372785052.36000001</v>
      </c>
      <c r="G26" s="41">
        <f>'Aldazabal Project Summary'!F71</f>
        <v>349066641.06</v>
      </c>
      <c r="H26" s="6">
        <f t="shared" si="9"/>
        <v>721851693.42000008</v>
      </c>
      <c r="I26" s="13">
        <f>H26-'SUMMARY Stryker'!H6-'SUMMARY Stryker'!H8</f>
        <v>0</v>
      </c>
    </row>
    <row r="27" spans="1:9">
      <c r="A27" s="4" t="s">
        <v>15</v>
      </c>
      <c r="B27" s="41"/>
      <c r="C27" s="41">
        <f>'Aldazabal Project Summary'!B72</f>
        <v>0</v>
      </c>
      <c r="D27" s="41">
        <f>'Aldazabal Project Summary'!C72</f>
        <v>0</v>
      </c>
      <c r="E27" s="41">
        <f>'Aldazabal Project Summary'!D72</f>
        <v>3611610</v>
      </c>
      <c r="F27" s="42">
        <f t="shared" si="8"/>
        <v>3611610</v>
      </c>
      <c r="G27" s="41">
        <f>'Aldazabal Project Summary'!F72</f>
        <v>103825277.03999999</v>
      </c>
      <c r="H27" s="42">
        <f t="shared" si="9"/>
        <v>107436887.03999999</v>
      </c>
      <c r="I27" s="13">
        <f>H27-GETPIVOTDATA("Sum of 2025",'Aldazabal Project Summary'!$A$54,"BUCKET","AFUDC NOT IN SERVICE BY 2027")-GETPIVOTDATA("Sum of 2022-2024 ",'Aldazabal Project Summary'!$A$54,"BUCKET","AFUDC NOT IN SERVICE BY 2027")</f>
        <v>0</v>
      </c>
    </row>
    <row r="28" spans="1:9">
      <c r="A28" s="43" t="s">
        <v>16</v>
      </c>
      <c r="B28" s="44"/>
      <c r="C28" s="44">
        <f>'Aldazabal Project Summary'!B74</f>
        <v>24530792.269999992</v>
      </c>
      <c r="D28" s="44">
        <f>'Aldazabal Project Summary'!C74</f>
        <v>4406279.7699999986</v>
      </c>
      <c r="E28" s="44">
        <f>'Aldazabal Project Summary'!D74</f>
        <v>12440511</v>
      </c>
      <c r="F28" s="11">
        <f t="shared" si="8"/>
        <v>41377583.039999992</v>
      </c>
      <c r="G28" s="44">
        <f>'Aldazabal Project Summary'!F74</f>
        <v>0</v>
      </c>
      <c r="H28" s="11">
        <f t="shared" si="9"/>
        <v>41377583.039999992</v>
      </c>
      <c r="I28" s="13">
        <f>H28-GETPIVOTDATA("Sum of 2022-2024 ",'Aldazabal Project Summary'!$A$54,"BUCKET","AGP UPGRADES ")-GETPIVOTDATA("Sum of 2025",'Aldazabal Project Summary'!$A$54,"BUCKET","AGP UPGRADES ")</f>
        <v>0</v>
      </c>
    </row>
    <row r="29" spans="1:9">
      <c r="C29" s="41">
        <f t="shared" ref="C29:H29" si="10">+SUM(C25:C28)</f>
        <v>114728718</v>
      </c>
      <c r="D29" s="41">
        <f t="shared" si="10"/>
        <v>292670429.87000006</v>
      </c>
      <c r="E29" s="41">
        <f t="shared" si="10"/>
        <v>569236729.03999996</v>
      </c>
      <c r="F29" s="41">
        <f t="shared" si="10"/>
        <v>976635876.91000009</v>
      </c>
      <c r="G29" s="41">
        <f t="shared" si="10"/>
        <v>653875008.17999995</v>
      </c>
      <c r="H29" s="41">
        <f t="shared" si="10"/>
        <v>1630510885.0900002</v>
      </c>
    </row>
    <row r="30" spans="1:9">
      <c r="C30" s="13">
        <f t="shared" ref="C30:H30" si="11">+C29+C9</f>
        <v>0</v>
      </c>
      <c r="D30" s="13">
        <f t="shared" si="11"/>
        <v>0</v>
      </c>
      <c r="E30" s="13">
        <f t="shared" si="11"/>
        <v>0</v>
      </c>
      <c r="F30" s="13">
        <f t="shared" si="11"/>
        <v>0</v>
      </c>
      <c r="G30" s="13">
        <f t="shared" si="11"/>
        <v>0</v>
      </c>
      <c r="H30" s="13">
        <f t="shared" si="11"/>
        <v>0</v>
      </c>
    </row>
    <row r="31" spans="1:9">
      <c r="C31" s="41">
        <f t="shared" ref="C31:H31" si="12">C29+C21-C6-C7-C4-C8</f>
        <v>0</v>
      </c>
      <c r="D31" s="41">
        <f t="shared" si="12"/>
        <v>0</v>
      </c>
      <c r="E31" s="41">
        <f t="shared" si="12"/>
        <v>2.3748725652694702E-8</v>
      </c>
      <c r="F31" s="41">
        <f t="shared" si="12"/>
        <v>4.76837158203125E-7</v>
      </c>
      <c r="G31" s="41">
        <f t="shared" si="12"/>
        <v>-1.1920928955078125E-7</v>
      </c>
      <c r="H31" s="41">
        <f t="shared" si="12"/>
        <v>9.5367431640625E-7</v>
      </c>
    </row>
    <row r="33" spans="3:9">
      <c r="H33" s="65"/>
    </row>
    <row r="35" spans="3:9">
      <c r="C35" s="65"/>
      <c r="D35" s="65"/>
      <c r="E35" s="65"/>
      <c r="F35" s="65"/>
      <c r="G35" s="65"/>
      <c r="H35" s="65"/>
      <c r="I35" s="1"/>
    </row>
    <row r="36" spans="3:9">
      <c r="C36" s="1"/>
      <c r="D36" s="1"/>
      <c r="E36" s="1"/>
      <c r="G36" s="1"/>
      <c r="I36" s="1"/>
    </row>
    <row r="37" spans="3:9">
      <c r="C37" s="1"/>
      <c r="D37" s="1"/>
      <c r="E37" s="1"/>
      <c r="G37" s="1"/>
      <c r="I37" s="1"/>
    </row>
    <row r="38" spans="3:9">
      <c r="C38" s="65"/>
      <c r="D38" s="65"/>
      <c r="E38" s="65"/>
      <c r="F38" s="65"/>
      <c r="G38" s="65"/>
      <c r="H38" s="65"/>
      <c r="I38" s="1"/>
    </row>
    <row r="39" spans="3:9">
      <c r="C39" s="1"/>
      <c r="D39" s="1"/>
      <c r="E39" s="1"/>
      <c r="G39" s="1"/>
      <c r="I39" s="1"/>
    </row>
    <row r="40" spans="3:9">
      <c r="C40" s="1"/>
      <c r="D40" s="1"/>
      <c r="E40" s="1"/>
      <c r="G40" s="1"/>
      <c r="I40" s="1"/>
    </row>
    <row r="41" spans="3:9">
      <c r="C41" s="1"/>
      <c r="D41" s="1"/>
      <c r="E41" s="1"/>
      <c r="G41" s="1"/>
      <c r="I41" s="1"/>
    </row>
    <row r="42" spans="3:9">
      <c r="F42" s="65"/>
    </row>
    <row r="43" spans="3:9">
      <c r="F43" s="65"/>
    </row>
    <row r="44" spans="3:9">
      <c r="F44" s="65"/>
    </row>
    <row r="45" spans="3:9">
      <c r="F45" s="65"/>
    </row>
    <row r="46" spans="3:9">
      <c r="F46" s="65"/>
    </row>
  </sheetData>
  <mergeCells count="2">
    <mergeCell ref="A2:H2"/>
    <mergeCell ref="A1:H1"/>
  </mergeCells>
  <pageMargins left="0.7" right="0.7" top="0.75" bottom="0.75" header="0.3" footer="0.3"/>
  <pageSetup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03C7-5F3A-4C8E-945E-665714068EC7}">
  <dimension ref="A1:M41"/>
  <sheetViews>
    <sheetView workbookViewId="0">
      <selection activeCell="C5" sqref="C5:L5"/>
    </sheetView>
  </sheetViews>
  <sheetFormatPr defaultRowHeight="15"/>
  <cols>
    <col min="1" max="1" width="4.42578125" customWidth="1"/>
    <col min="2" max="2" width="42.140625" customWidth="1"/>
    <col min="3" max="12" width="15.5703125" customWidth="1"/>
    <col min="13" max="13" width="11.85546875" bestFit="1" customWidth="1"/>
  </cols>
  <sheetData>
    <row r="1" spans="1:13">
      <c r="A1" s="14" t="s">
        <v>0</v>
      </c>
    </row>
    <row r="2" spans="1:13">
      <c r="A2" s="14" t="s">
        <v>677</v>
      </c>
      <c r="F2" s="70" t="s">
        <v>678</v>
      </c>
    </row>
    <row r="3" spans="1:13">
      <c r="A3" s="14" t="s">
        <v>679</v>
      </c>
      <c r="F3" s="71"/>
    </row>
    <row r="5" spans="1:13" ht="45">
      <c r="C5" s="15" t="s">
        <v>86</v>
      </c>
      <c r="D5" s="15" t="s">
        <v>680</v>
      </c>
      <c r="E5" s="15" t="s">
        <v>665</v>
      </c>
      <c r="F5" s="15" t="s">
        <v>513</v>
      </c>
      <c r="G5" s="15" t="s">
        <v>522</v>
      </c>
      <c r="H5" s="15" t="s">
        <v>666</v>
      </c>
      <c r="I5" s="15" t="s">
        <v>681</v>
      </c>
      <c r="J5" s="15" t="s">
        <v>682</v>
      </c>
      <c r="K5" s="15" t="s">
        <v>683</v>
      </c>
      <c r="L5" s="15" t="s">
        <v>675</v>
      </c>
      <c r="M5" s="16" t="s">
        <v>684</v>
      </c>
    </row>
    <row r="6" spans="1:13">
      <c r="A6" s="17" t="s">
        <v>685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20"/>
      <c r="M6" s="21"/>
    </row>
    <row r="7" spans="1:13">
      <c r="A7" s="22">
        <v>1</v>
      </c>
      <c r="B7" s="23" t="s">
        <v>686</v>
      </c>
      <c r="C7" s="3">
        <v>70262089.791538432</v>
      </c>
      <c r="D7" s="3">
        <v>175883252.61461538</v>
      </c>
      <c r="E7" s="3">
        <v>68906417.14692305</v>
      </c>
      <c r="F7" s="3">
        <v>30959547.284615375</v>
      </c>
      <c r="G7" s="3">
        <v>16159559.993846156</v>
      </c>
      <c r="H7" s="3">
        <v>21212812.419230767</v>
      </c>
      <c r="I7" s="3">
        <v>315176879.04230767</v>
      </c>
      <c r="J7" s="3">
        <v>45998911.102307692</v>
      </c>
      <c r="K7" s="3">
        <v>14671388.223076925</v>
      </c>
      <c r="L7" s="3">
        <f>SUM(C7:K7)</f>
        <v>759230857.61846149</v>
      </c>
      <c r="M7" s="24">
        <v>0</v>
      </c>
    </row>
    <row r="8" spans="1:13">
      <c r="A8" s="22">
        <f>+A7+1</f>
        <v>2</v>
      </c>
      <c r="B8" s="23" t="s">
        <v>687</v>
      </c>
      <c r="C8" s="25">
        <v>7.3700000000000002E-2</v>
      </c>
      <c r="D8" s="25">
        <v>7.3700000000000002E-2</v>
      </c>
      <c r="E8" s="25">
        <v>7.3700000000000002E-2</v>
      </c>
      <c r="F8" s="25">
        <v>7.3700000000000002E-2</v>
      </c>
      <c r="G8" s="25">
        <v>7.3700000000000002E-2</v>
      </c>
      <c r="H8" s="25">
        <v>7.3700000000000002E-2</v>
      </c>
      <c r="I8" s="25">
        <v>7.3700000000000002E-2</v>
      </c>
      <c r="J8" s="25">
        <v>7.3700000000000002E-2</v>
      </c>
      <c r="K8" s="25">
        <v>7.3700000000000002E-2</v>
      </c>
      <c r="L8" s="25">
        <f>+K8</f>
        <v>7.3700000000000002E-2</v>
      </c>
      <c r="M8" s="24">
        <v>0</v>
      </c>
    </row>
    <row r="9" spans="1:13">
      <c r="A9" s="22">
        <f t="shared" ref="A9:A16" si="0">+A8+1</f>
        <v>3</v>
      </c>
      <c r="B9" s="23" t="s">
        <v>688</v>
      </c>
      <c r="C9" s="3">
        <f>+C7*C8</f>
        <v>5178316.017636383</v>
      </c>
      <c r="D9" s="3">
        <f t="shared" ref="D9:L9" si="1">+D7*D8</f>
        <v>12962595.717697155</v>
      </c>
      <c r="E9" s="3">
        <f t="shared" si="1"/>
        <v>5078402.943728229</v>
      </c>
      <c r="F9" s="3">
        <f t="shared" si="1"/>
        <v>2281718.634876153</v>
      </c>
      <c r="G9" s="3">
        <f t="shared" si="1"/>
        <v>1190959.5715464617</v>
      </c>
      <c r="H9" s="3">
        <f t="shared" si="1"/>
        <v>1563384.2752973076</v>
      </c>
      <c r="I9" s="3">
        <f t="shared" si="1"/>
        <v>23228535.985418078</v>
      </c>
      <c r="J9" s="3">
        <f t="shared" si="1"/>
        <v>3390119.7482400769</v>
      </c>
      <c r="K9" s="3">
        <f t="shared" si="1"/>
        <v>1081281.3120407693</v>
      </c>
      <c r="L9" s="3">
        <f t="shared" si="1"/>
        <v>55955314.206480615</v>
      </c>
      <c r="M9" s="24">
        <v>0</v>
      </c>
    </row>
    <row r="10" spans="1:13">
      <c r="A10" s="22">
        <f t="shared" si="0"/>
        <v>4</v>
      </c>
      <c r="B10" s="23" t="s">
        <v>689</v>
      </c>
      <c r="C10" s="26">
        <v>1.3436399999999999</v>
      </c>
      <c r="D10" s="26">
        <v>1.3436399999999999</v>
      </c>
      <c r="E10" s="26">
        <v>1.3436399999999999</v>
      </c>
      <c r="F10" s="26">
        <v>1.3436399999999999</v>
      </c>
      <c r="G10" s="26">
        <v>1.3436399999999999</v>
      </c>
      <c r="H10" s="26">
        <v>1.3436399999999999</v>
      </c>
      <c r="I10" s="26">
        <v>1.3436399999999999</v>
      </c>
      <c r="J10" s="26">
        <v>1.3436399999999999</v>
      </c>
      <c r="K10" s="26">
        <v>1.3436399999999999</v>
      </c>
      <c r="L10" s="26">
        <f>+K10</f>
        <v>1.3436399999999999</v>
      </c>
      <c r="M10" s="24">
        <v>0</v>
      </c>
    </row>
    <row r="11" spans="1:13">
      <c r="A11" s="22">
        <f t="shared" si="0"/>
        <v>5</v>
      </c>
      <c r="B11" s="23" t="s">
        <v>690</v>
      </c>
      <c r="C11" s="3">
        <f>+C9*C10</f>
        <v>6957792.5339369494</v>
      </c>
      <c r="D11" s="3">
        <f t="shared" ref="D11:L11" si="2">+D9*D10</f>
        <v>17417062.110126603</v>
      </c>
      <c r="E11" s="3">
        <f t="shared" si="2"/>
        <v>6823545.3313109977</v>
      </c>
      <c r="F11" s="3">
        <f t="shared" si="2"/>
        <v>3065808.4265649943</v>
      </c>
      <c r="G11" s="3">
        <f t="shared" si="2"/>
        <v>1600220.9187126877</v>
      </c>
      <c r="H11" s="3">
        <f t="shared" si="2"/>
        <v>2100625.6476604743</v>
      </c>
      <c r="I11" s="3">
        <f t="shared" si="2"/>
        <v>31210790.091447145</v>
      </c>
      <c r="J11" s="3">
        <f t="shared" si="2"/>
        <v>4555100.4985252963</v>
      </c>
      <c r="K11" s="3">
        <f t="shared" si="2"/>
        <v>1452852.8221104592</v>
      </c>
      <c r="L11" s="3">
        <f t="shared" si="2"/>
        <v>75183798.380395606</v>
      </c>
      <c r="M11" s="24">
        <v>0</v>
      </c>
    </row>
    <row r="12" spans="1:13">
      <c r="A12" s="22">
        <f t="shared" si="0"/>
        <v>6</v>
      </c>
      <c r="B12" s="23" t="s">
        <v>691</v>
      </c>
      <c r="C12" s="3">
        <v>986280.87999999989</v>
      </c>
      <c r="D12" s="3">
        <v>1066000</v>
      </c>
      <c r="E12" s="3">
        <v>663561</v>
      </c>
      <c r="F12" s="3">
        <v>-37142.279999999795</v>
      </c>
      <c r="G12" s="3">
        <v>0</v>
      </c>
      <c r="H12" s="3">
        <v>-9141</v>
      </c>
      <c r="I12" s="3">
        <v>3799583.333333333</v>
      </c>
      <c r="J12" s="3">
        <v>217299.99999999959</v>
      </c>
      <c r="K12" s="3">
        <v>155476.23834580285</v>
      </c>
      <c r="L12" s="3">
        <f>SUM(C12:K12)</f>
        <v>6841918.1716791363</v>
      </c>
      <c r="M12" s="24">
        <v>0</v>
      </c>
    </row>
    <row r="13" spans="1:13">
      <c r="A13" s="22">
        <f t="shared" si="0"/>
        <v>7</v>
      </c>
      <c r="B13" s="23" t="s">
        <v>692</v>
      </c>
      <c r="C13" s="3">
        <v>1223208.8092191652</v>
      </c>
      <c r="D13" s="3">
        <v>5335898.5677053351</v>
      </c>
      <c r="E13" s="3">
        <v>1459937.7699606672</v>
      </c>
      <c r="F13" s="3">
        <v>1435491.0090966662</v>
      </c>
      <c r="G13" s="3">
        <v>537651.00587683346</v>
      </c>
      <c r="H13" s="3">
        <v>528080</v>
      </c>
      <c r="I13" s="3">
        <v>9672887.2415012512</v>
      </c>
      <c r="J13" s="3">
        <v>5071435.4718858339</v>
      </c>
      <c r="K13" s="3">
        <v>536698.85974750004</v>
      </c>
      <c r="L13" s="3">
        <f t="shared" ref="L13:L15" si="3">SUM(C13:K13)</f>
        <v>25801288.734993253</v>
      </c>
      <c r="M13" s="24">
        <v>0</v>
      </c>
    </row>
    <row r="14" spans="1:13">
      <c r="A14" s="22">
        <f t="shared" si="0"/>
        <v>8</v>
      </c>
      <c r="B14" s="23" t="s">
        <v>693</v>
      </c>
      <c r="C14" s="3">
        <v>1620060.88525985</v>
      </c>
      <c r="D14" s="3">
        <v>3206785.3653951501</v>
      </c>
      <c r="E14" s="3">
        <v>1016053.2971930002</v>
      </c>
      <c r="F14" s="3">
        <v>721636.08765710017</v>
      </c>
      <c r="G14" s="3">
        <v>0</v>
      </c>
      <c r="H14" s="3">
        <v>247434.00000000003</v>
      </c>
      <c r="I14" s="3">
        <v>789028.82020179974</v>
      </c>
      <c r="J14" s="3">
        <v>1320943.2950257501</v>
      </c>
      <c r="K14" s="3">
        <v>0</v>
      </c>
      <c r="L14" s="3">
        <f t="shared" si="3"/>
        <v>8921941.7507326491</v>
      </c>
      <c r="M14" s="24">
        <v>0</v>
      </c>
    </row>
    <row r="15" spans="1:13">
      <c r="A15" s="22">
        <f t="shared" si="0"/>
        <v>9</v>
      </c>
      <c r="B15" s="23" t="s">
        <v>694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-14086934.60449671</v>
      </c>
      <c r="J15" s="3">
        <v>-1852749.764376</v>
      </c>
      <c r="K15" s="3">
        <v>0</v>
      </c>
      <c r="L15" s="3">
        <f t="shared" si="3"/>
        <v>-15939684.36887271</v>
      </c>
      <c r="M15" s="24">
        <v>0</v>
      </c>
    </row>
    <row r="16" spans="1:13" ht="15.75" thickBot="1">
      <c r="A16" s="22">
        <f t="shared" si="0"/>
        <v>10</v>
      </c>
      <c r="B16" s="23" t="s">
        <v>695</v>
      </c>
      <c r="C16" s="27">
        <f>SUM(C11:C15)</f>
        <v>10787343.108415965</v>
      </c>
      <c r="D16" s="27">
        <f t="shared" ref="D16:L16" si="4">SUM(D11:D15)</f>
        <v>27025746.043227091</v>
      </c>
      <c r="E16" s="27">
        <f t="shared" si="4"/>
        <v>9963097.3984646648</v>
      </c>
      <c r="F16" s="27">
        <f t="shared" si="4"/>
        <v>5185793.2433187617</v>
      </c>
      <c r="G16" s="27">
        <f t="shared" si="4"/>
        <v>2137871.9245895213</v>
      </c>
      <c r="H16" s="27">
        <f t="shared" si="4"/>
        <v>2866998.6476604743</v>
      </c>
      <c r="I16" s="27">
        <f t="shared" si="4"/>
        <v>31385354.881986819</v>
      </c>
      <c r="J16" s="27">
        <f t="shared" si="4"/>
        <v>9312029.5010608807</v>
      </c>
      <c r="K16" s="27">
        <f t="shared" si="4"/>
        <v>2145027.9202037621</v>
      </c>
      <c r="L16" s="27">
        <f t="shared" si="4"/>
        <v>100809262.66892794</v>
      </c>
      <c r="M16" s="24">
        <v>0</v>
      </c>
    </row>
    <row r="17" spans="1:13" ht="15.75" thickTop="1">
      <c r="C17" s="3"/>
      <c r="D17" s="3"/>
      <c r="E17" s="3"/>
      <c r="F17" s="3"/>
      <c r="G17" s="3"/>
      <c r="H17" s="3"/>
      <c r="I17" s="3"/>
      <c r="J17" s="3"/>
      <c r="K17" s="3"/>
      <c r="L17" s="3"/>
      <c r="M17" s="21"/>
    </row>
    <row r="18" spans="1:13">
      <c r="A18" s="17" t="s">
        <v>696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1"/>
    </row>
    <row r="19" spans="1:13">
      <c r="A19" s="22">
        <v>1</v>
      </c>
      <c r="B19" s="23" t="s">
        <v>686</v>
      </c>
      <c r="C19" s="3">
        <v>0</v>
      </c>
      <c r="D19" s="3">
        <v>0</v>
      </c>
      <c r="E19" s="3">
        <v>27623903.949230731</v>
      </c>
      <c r="F19" s="3">
        <v>0</v>
      </c>
      <c r="G19" s="3">
        <v>37696509.986153841</v>
      </c>
      <c r="H19" s="3">
        <v>50738364.415384613</v>
      </c>
      <c r="I19" s="3">
        <v>323985153.00692314</v>
      </c>
      <c r="J19" s="3">
        <v>0</v>
      </c>
      <c r="K19" s="3">
        <v>79931489.7669231</v>
      </c>
      <c r="L19" s="3">
        <f>SUM(C19:K19)</f>
        <v>519975421.12461543</v>
      </c>
      <c r="M19" s="24">
        <v>0</v>
      </c>
    </row>
    <row r="20" spans="1:13">
      <c r="A20" s="22">
        <f>+A19+1</f>
        <v>2</v>
      </c>
      <c r="B20" s="23" t="s">
        <v>687</v>
      </c>
      <c r="C20" s="25">
        <v>7.3700000000000002E-2</v>
      </c>
      <c r="D20" s="25">
        <v>7.3700000000000002E-2</v>
      </c>
      <c r="E20" s="25">
        <v>7.3700000000000002E-2</v>
      </c>
      <c r="F20" s="25">
        <v>7.3700000000000002E-2</v>
      </c>
      <c r="G20" s="25">
        <v>7.3700000000000002E-2</v>
      </c>
      <c r="H20" s="25">
        <v>7.3700000000000002E-2</v>
      </c>
      <c r="I20" s="25">
        <v>7.3700000000000002E-2</v>
      </c>
      <c r="J20" s="25">
        <v>7.3700000000000002E-2</v>
      </c>
      <c r="K20" s="25">
        <v>7.3700000000000002E-2</v>
      </c>
      <c r="L20" s="25">
        <f>+K20</f>
        <v>7.3700000000000002E-2</v>
      </c>
      <c r="M20" s="24">
        <v>0</v>
      </c>
    </row>
    <row r="21" spans="1:13">
      <c r="A21" s="22">
        <f t="shared" ref="A21:A28" si="5">+A20+1</f>
        <v>3</v>
      </c>
      <c r="B21" s="23" t="s">
        <v>688</v>
      </c>
      <c r="C21" s="3">
        <f>+C19*C20</f>
        <v>0</v>
      </c>
      <c r="D21" s="3">
        <f t="shared" ref="D21:L21" si="6">+D19*D20</f>
        <v>0</v>
      </c>
      <c r="E21" s="3">
        <f t="shared" si="6"/>
        <v>2035881.7210583049</v>
      </c>
      <c r="F21" s="3">
        <f t="shared" si="6"/>
        <v>0</v>
      </c>
      <c r="G21" s="3">
        <f t="shared" si="6"/>
        <v>2778232.7859795382</v>
      </c>
      <c r="H21" s="3">
        <f t="shared" si="6"/>
        <v>3739417.4574138462</v>
      </c>
      <c r="I21" s="3">
        <f t="shared" si="6"/>
        <v>23877705.776610237</v>
      </c>
      <c r="J21" s="3">
        <f t="shared" si="6"/>
        <v>0</v>
      </c>
      <c r="K21" s="3">
        <f t="shared" si="6"/>
        <v>5890950.795822233</v>
      </c>
      <c r="L21" s="3">
        <f t="shared" si="6"/>
        <v>38322188.536884159</v>
      </c>
      <c r="M21" s="24">
        <v>0</v>
      </c>
    </row>
    <row r="22" spans="1:13">
      <c r="A22" s="22">
        <f t="shared" si="5"/>
        <v>4</v>
      </c>
      <c r="B22" s="23" t="s">
        <v>689</v>
      </c>
      <c r="C22" s="26">
        <v>1.3436399999999999</v>
      </c>
      <c r="D22" s="26">
        <v>1.3436399999999999</v>
      </c>
      <c r="E22" s="26">
        <v>1.3436399999999999</v>
      </c>
      <c r="F22" s="26">
        <v>1.3436399999999999</v>
      </c>
      <c r="G22" s="26">
        <v>1.3436399999999999</v>
      </c>
      <c r="H22" s="26">
        <v>1.3436399999999999</v>
      </c>
      <c r="I22" s="26">
        <v>1.3436399999999999</v>
      </c>
      <c r="J22" s="26">
        <v>1.3436399999999999</v>
      </c>
      <c r="K22" s="26">
        <v>1.3436399999999999</v>
      </c>
      <c r="L22" s="26">
        <f>+K22</f>
        <v>1.3436399999999999</v>
      </c>
      <c r="M22" s="24">
        <v>0</v>
      </c>
    </row>
    <row r="23" spans="1:13">
      <c r="A23" s="22">
        <f t="shared" si="5"/>
        <v>5</v>
      </c>
      <c r="B23" s="23" t="s">
        <v>690</v>
      </c>
      <c r="C23" s="3">
        <f>+C21*C22</f>
        <v>0</v>
      </c>
      <c r="D23" s="3">
        <f t="shared" ref="D23:L23" si="7">+D21*D22</f>
        <v>0</v>
      </c>
      <c r="E23" s="3">
        <f t="shared" si="7"/>
        <v>2735492.1156827807</v>
      </c>
      <c r="F23" s="3">
        <f t="shared" si="7"/>
        <v>0</v>
      </c>
      <c r="G23" s="3">
        <f t="shared" si="7"/>
        <v>3732944.7005535467</v>
      </c>
      <c r="H23" s="3">
        <f t="shared" si="7"/>
        <v>5024430.8724795403</v>
      </c>
      <c r="I23" s="3">
        <f t="shared" si="7"/>
        <v>32083040.589684576</v>
      </c>
      <c r="J23" s="3">
        <f t="shared" si="7"/>
        <v>0</v>
      </c>
      <c r="K23" s="3">
        <f t="shared" si="7"/>
        <v>7915317.1272985851</v>
      </c>
      <c r="L23" s="3">
        <f t="shared" si="7"/>
        <v>51491225.40569903</v>
      </c>
      <c r="M23" s="24">
        <v>0</v>
      </c>
    </row>
    <row r="24" spans="1:13">
      <c r="A24" s="22">
        <f t="shared" si="5"/>
        <v>6</v>
      </c>
      <c r="B24" s="23" t="s">
        <v>691</v>
      </c>
      <c r="C24" s="3">
        <v>0</v>
      </c>
      <c r="D24" s="3">
        <v>0</v>
      </c>
      <c r="E24" s="3">
        <v>31105</v>
      </c>
      <c r="F24" s="3">
        <v>0</v>
      </c>
      <c r="G24" s="3">
        <v>155000</v>
      </c>
      <c r="H24" s="3">
        <v>1310315</v>
      </c>
      <c r="I24" s="3">
        <v>3234343.2569166664</v>
      </c>
      <c r="J24" s="3">
        <v>0</v>
      </c>
      <c r="K24" s="3">
        <v>59021.319883609656</v>
      </c>
      <c r="L24" s="3">
        <f>SUM(C24:K24)</f>
        <v>4789784.5768002756</v>
      </c>
      <c r="M24" s="24">
        <v>0</v>
      </c>
    </row>
    <row r="25" spans="1:13">
      <c r="A25" s="22">
        <f t="shared" si="5"/>
        <v>7</v>
      </c>
      <c r="B25" s="23" t="s">
        <v>692</v>
      </c>
      <c r="C25" s="3">
        <v>0</v>
      </c>
      <c r="D25" s="3">
        <v>0</v>
      </c>
      <c r="E25" s="3">
        <v>622458.63565600058</v>
      </c>
      <c r="F25" s="3">
        <v>0</v>
      </c>
      <c r="G25" s="3">
        <v>2224255.6901740003</v>
      </c>
      <c r="H25" s="3">
        <v>7860218.287349999</v>
      </c>
      <c r="I25" s="3">
        <v>11284805.38810575</v>
      </c>
      <c r="J25" s="3">
        <v>0</v>
      </c>
      <c r="K25" s="3">
        <v>5741474.3919955008</v>
      </c>
      <c r="L25" s="3">
        <f t="shared" ref="L25:L27" si="8">SUM(C25:K25)</f>
        <v>27733212.393281251</v>
      </c>
      <c r="M25" s="24">
        <v>0</v>
      </c>
    </row>
    <row r="26" spans="1:13">
      <c r="A26" s="22">
        <f t="shared" si="5"/>
        <v>8</v>
      </c>
      <c r="B26" s="23" t="s">
        <v>693</v>
      </c>
      <c r="C26" s="3">
        <v>0</v>
      </c>
      <c r="D26" s="3">
        <v>0</v>
      </c>
      <c r="E26" s="3">
        <v>532320.5407173495</v>
      </c>
      <c r="F26" s="3">
        <v>0</v>
      </c>
      <c r="G26" s="3">
        <v>482819.6673707001</v>
      </c>
      <c r="H26" s="3">
        <v>492775.22339924995</v>
      </c>
      <c r="I26" s="3">
        <v>1367298.1289095995</v>
      </c>
      <c r="J26" s="3">
        <v>0</v>
      </c>
      <c r="K26" s="3">
        <v>848114.80118035013</v>
      </c>
      <c r="L26" s="3">
        <f t="shared" si="8"/>
        <v>3723328.3615772491</v>
      </c>
      <c r="M26" s="24">
        <v>0</v>
      </c>
    </row>
    <row r="27" spans="1:13">
      <c r="A27" s="22">
        <f t="shared" si="5"/>
        <v>9</v>
      </c>
      <c r="B27" s="23" t="s">
        <v>694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-14888700.6092343</v>
      </c>
      <c r="J27" s="3">
        <v>0</v>
      </c>
      <c r="K27" s="3">
        <v>0</v>
      </c>
      <c r="L27" s="3">
        <f t="shared" si="8"/>
        <v>-14888700.6092343</v>
      </c>
      <c r="M27" s="24">
        <v>0</v>
      </c>
    </row>
    <row r="28" spans="1:13" ht="15.75" thickBot="1">
      <c r="A28" s="22">
        <f t="shared" si="5"/>
        <v>10</v>
      </c>
      <c r="B28" s="23" t="s">
        <v>695</v>
      </c>
      <c r="C28" s="27">
        <f>SUM(C23:C27)</f>
        <v>0</v>
      </c>
      <c r="D28" s="27">
        <f t="shared" ref="D28:L28" si="9">SUM(D23:D27)</f>
        <v>0</v>
      </c>
      <c r="E28" s="27">
        <f t="shared" si="9"/>
        <v>3921376.2920561307</v>
      </c>
      <c r="F28" s="27">
        <f t="shared" si="9"/>
        <v>0</v>
      </c>
      <c r="G28" s="27">
        <f t="shared" si="9"/>
        <v>6595020.0580982473</v>
      </c>
      <c r="H28" s="27">
        <f t="shared" si="9"/>
        <v>14687739.383228788</v>
      </c>
      <c r="I28" s="27">
        <f t="shared" si="9"/>
        <v>33080786.754382294</v>
      </c>
      <c r="J28" s="27">
        <f t="shared" si="9"/>
        <v>0</v>
      </c>
      <c r="K28" s="27">
        <f t="shared" si="9"/>
        <v>14563927.640358046</v>
      </c>
      <c r="L28" s="27">
        <f t="shared" si="9"/>
        <v>72848850.128123492</v>
      </c>
      <c r="M28" s="24">
        <v>0</v>
      </c>
    </row>
    <row r="29" spans="1:13" ht="15.75" thickTop="1"/>
    <row r="30" spans="1:13">
      <c r="A30" s="17" t="s">
        <v>697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3">
      <c r="A31" s="22">
        <v>1</v>
      </c>
      <c r="B31" s="23" t="s">
        <v>686</v>
      </c>
      <c r="C31" s="3">
        <f>+C7+C19</f>
        <v>70262089.791538432</v>
      </c>
      <c r="D31" s="3">
        <f t="shared" ref="D31:K39" si="10">+D7+D19</f>
        <v>175883252.61461538</v>
      </c>
      <c r="E31" s="3">
        <f t="shared" si="10"/>
        <v>96530321.096153781</v>
      </c>
      <c r="F31" s="3">
        <f t="shared" si="10"/>
        <v>30959547.284615375</v>
      </c>
      <c r="G31" s="3">
        <f t="shared" si="10"/>
        <v>53856069.979999997</v>
      </c>
      <c r="H31" s="3">
        <f t="shared" si="10"/>
        <v>71951176.83461538</v>
      </c>
      <c r="I31" s="3">
        <f t="shared" si="10"/>
        <v>639162032.04923081</v>
      </c>
      <c r="J31" s="3">
        <f t="shared" si="10"/>
        <v>45998911.102307692</v>
      </c>
      <c r="K31" s="3">
        <f t="shared" si="10"/>
        <v>94602877.990000024</v>
      </c>
      <c r="L31" s="3">
        <f>SUM(C31:K31)</f>
        <v>1279206278.743077</v>
      </c>
      <c r="M31" s="24">
        <v>0</v>
      </c>
    </row>
    <row r="32" spans="1:13">
      <c r="A32" s="22">
        <f>+A31+1</f>
        <v>2</v>
      </c>
      <c r="B32" s="23" t="s">
        <v>687</v>
      </c>
      <c r="C32" s="25">
        <v>7.3700000000000002E-2</v>
      </c>
      <c r="D32" s="25">
        <v>7.3700000000000002E-2</v>
      </c>
      <c r="E32" s="25">
        <v>7.3700000000000002E-2</v>
      </c>
      <c r="F32" s="25">
        <v>7.3700000000000002E-2</v>
      </c>
      <c r="G32" s="25">
        <v>7.3700000000000002E-2</v>
      </c>
      <c r="H32" s="25">
        <v>7.3700000000000002E-2</v>
      </c>
      <c r="I32" s="25">
        <v>7.3700000000000002E-2</v>
      </c>
      <c r="J32" s="25">
        <v>7.3700000000000002E-2</v>
      </c>
      <c r="K32" s="25">
        <v>7.3700000000000002E-2</v>
      </c>
      <c r="L32" s="25">
        <f>+K32</f>
        <v>7.3700000000000002E-2</v>
      </c>
      <c r="M32" s="24">
        <v>0</v>
      </c>
    </row>
    <row r="33" spans="1:13">
      <c r="A33" s="22">
        <f t="shared" ref="A33:A40" si="11">+A32+1</f>
        <v>3</v>
      </c>
      <c r="B33" s="23" t="s">
        <v>688</v>
      </c>
      <c r="C33" s="3">
        <f>+C9+C21</f>
        <v>5178316.017636383</v>
      </c>
      <c r="D33" s="3">
        <f t="shared" si="10"/>
        <v>12962595.717697155</v>
      </c>
      <c r="E33" s="3">
        <f t="shared" si="10"/>
        <v>7114284.6647865344</v>
      </c>
      <c r="F33" s="3">
        <f t="shared" si="10"/>
        <v>2281718.634876153</v>
      </c>
      <c r="G33" s="3">
        <f t="shared" si="10"/>
        <v>3969192.3575259997</v>
      </c>
      <c r="H33" s="3">
        <f t="shared" si="10"/>
        <v>5302801.732711154</v>
      </c>
      <c r="I33" s="3">
        <f t="shared" si="10"/>
        <v>47106241.762028314</v>
      </c>
      <c r="J33" s="3">
        <f t="shared" si="10"/>
        <v>3390119.7482400769</v>
      </c>
      <c r="K33" s="3">
        <f t="shared" si="10"/>
        <v>6972232.1078630025</v>
      </c>
      <c r="L33" s="3">
        <f t="shared" ref="L33" si="12">+L31*L32</f>
        <v>94277502.743364781</v>
      </c>
      <c r="M33" s="24">
        <v>0</v>
      </c>
    </row>
    <row r="34" spans="1:13">
      <c r="A34" s="22">
        <f t="shared" si="11"/>
        <v>4</v>
      </c>
      <c r="B34" s="23" t="s">
        <v>689</v>
      </c>
      <c r="C34" s="26">
        <v>1.3436399999999999</v>
      </c>
      <c r="D34" s="26">
        <v>1.3436399999999999</v>
      </c>
      <c r="E34" s="26">
        <v>1.3436399999999999</v>
      </c>
      <c r="F34" s="26">
        <v>1.3436399999999999</v>
      </c>
      <c r="G34" s="26">
        <v>1.3436399999999999</v>
      </c>
      <c r="H34" s="26">
        <v>1.3436399999999999</v>
      </c>
      <c r="I34" s="26">
        <v>1.3436399999999999</v>
      </c>
      <c r="J34" s="26">
        <v>1.3436399999999999</v>
      </c>
      <c r="K34" s="26">
        <v>1.3436399999999999</v>
      </c>
      <c r="L34" s="26">
        <f>+K34</f>
        <v>1.3436399999999999</v>
      </c>
      <c r="M34" s="24">
        <v>0</v>
      </c>
    </row>
    <row r="35" spans="1:13">
      <c r="A35" s="22">
        <f t="shared" si="11"/>
        <v>5</v>
      </c>
      <c r="B35" s="23" t="s">
        <v>690</v>
      </c>
      <c r="C35" s="3">
        <f>+C11+C23</f>
        <v>6957792.5339369494</v>
      </c>
      <c r="D35" s="3">
        <f t="shared" si="10"/>
        <v>17417062.110126603</v>
      </c>
      <c r="E35" s="3">
        <f t="shared" si="10"/>
        <v>9559037.4469937794</v>
      </c>
      <c r="F35" s="3">
        <f t="shared" si="10"/>
        <v>3065808.4265649943</v>
      </c>
      <c r="G35" s="3">
        <f t="shared" si="10"/>
        <v>5333165.6192662343</v>
      </c>
      <c r="H35" s="3">
        <f t="shared" si="10"/>
        <v>7125056.5201400146</v>
      </c>
      <c r="I35" s="3">
        <f t="shared" si="10"/>
        <v>63293830.681131721</v>
      </c>
      <c r="J35" s="3">
        <f t="shared" si="10"/>
        <v>4555100.4985252963</v>
      </c>
      <c r="K35" s="3">
        <f t="shared" si="10"/>
        <v>9368169.9494090453</v>
      </c>
      <c r="L35" s="3">
        <f t="shared" ref="L35" si="13">+L33*L34</f>
        <v>126675023.78609465</v>
      </c>
      <c r="M35" s="24">
        <v>0</v>
      </c>
    </row>
    <row r="36" spans="1:13">
      <c r="A36" s="22">
        <f t="shared" si="11"/>
        <v>6</v>
      </c>
      <c r="B36" s="23" t="s">
        <v>691</v>
      </c>
      <c r="C36" s="3">
        <f>+C12+C24</f>
        <v>986280.87999999989</v>
      </c>
      <c r="D36" s="3">
        <f t="shared" si="10"/>
        <v>1066000</v>
      </c>
      <c r="E36" s="3">
        <f t="shared" si="10"/>
        <v>694666</v>
      </c>
      <c r="F36" s="3">
        <f t="shared" si="10"/>
        <v>-37142.279999999795</v>
      </c>
      <c r="G36" s="3">
        <f t="shared" si="10"/>
        <v>155000</v>
      </c>
      <c r="H36" s="3">
        <f t="shared" si="10"/>
        <v>1301174</v>
      </c>
      <c r="I36" s="3">
        <f t="shared" si="10"/>
        <v>7033926.5902499994</v>
      </c>
      <c r="J36" s="3">
        <f t="shared" si="10"/>
        <v>217299.99999999959</v>
      </c>
      <c r="K36" s="3">
        <f t="shared" si="10"/>
        <v>214497.55822941251</v>
      </c>
      <c r="L36" s="3">
        <f>SUM(C36:K36)</f>
        <v>11631702.748479413</v>
      </c>
      <c r="M36" s="24">
        <v>0</v>
      </c>
    </row>
    <row r="37" spans="1:13">
      <c r="A37" s="22">
        <f t="shared" si="11"/>
        <v>7</v>
      </c>
      <c r="B37" s="23" t="s">
        <v>692</v>
      </c>
      <c r="C37" s="3">
        <f>+C13+C25</f>
        <v>1223208.8092191652</v>
      </c>
      <c r="D37" s="3">
        <f t="shared" si="10"/>
        <v>5335898.5677053351</v>
      </c>
      <c r="E37" s="3">
        <f t="shared" si="10"/>
        <v>2082396.4056166678</v>
      </c>
      <c r="F37" s="3">
        <f t="shared" si="10"/>
        <v>1435491.0090966662</v>
      </c>
      <c r="G37" s="3">
        <f t="shared" si="10"/>
        <v>2761906.6960508339</v>
      </c>
      <c r="H37" s="3">
        <f t="shared" si="10"/>
        <v>8388298.287349999</v>
      </c>
      <c r="I37" s="3">
        <f t="shared" si="10"/>
        <v>20957692.629606999</v>
      </c>
      <c r="J37" s="3">
        <f t="shared" si="10"/>
        <v>5071435.4718858339</v>
      </c>
      <c r="K37" s="3">
        <f t="shared" si="10"/>
        <v>6278173.2517430009</v>
      </c>
      <c r="L37" s="3">
        <f t="shared" ref="L37:L39" si="14">SUM(C37:K37)</f>
        <v>53534501.1282745</v>
      </c>
      <c r="M37" s="24">
        <v>0</v>
      </c>
    </row>
    <row r="38" spans="1:13">
      <c r="A38" s="22">
        <f t="shared" si="11"/>
        <v>8</v>
      </c>
      <c r="B38" s="23" t="s">
        <v>693</v>
      </c>
      <c r="C38" s="3">
        <f>+C14+C26</f>
        <v>1620060.88525985</v>
      </c>
      <c r="D38" s="3">
        <f t="shared" si="10"/>
        <v>3206785.3653951501</v>
      </c>
      <c r="E38" s="3">
        <f t="shared" si="10"/>
        <v>1548373.8379103497</v>
      </c>
      <c r="F38" s="3">
        <f t="shared" si="10"/>
        <v>721636.08765710017</v>
      </c>
      <c r="G38" s="3">
        <f t="shared" si="10"/>
        <v>482819.6673707001</v>
      </c>
      <c r="H38" s="3">
        <f t="shared" si="10"/>
        <v>740209.22339924995</v>
      </c>
      <c r="I38" s="3">
        <f t="shared" si="10"/>
        <v>2156326.9491113992</v>
      </c>
      <c r="J38" s="3">
        <f t="shared" si="10"/>
        <v>1320943.2950257501</v>
      </c>
      <c r="K38" s="3">
        <f t="shared" si="10"/>
        <v>848114.80118035013</v>
      </c>
      <c r="L38" s="3">
        <f t="shared" si="14"/>
        <v>12645270.112309901</v>
      </c>
      <c r="M38" s="24">
        <v>0</v>
      </c>
    </row>
    <row r="39" spans="1:13">
      <c r="A39" s="22">
        <f t="shared" si="11"/>
        <v>9</v>
      </c>
      <c r="B39" s="23" t="s">
        <v>694</v>
      </c>
      <c r="C39" s="3">
        <f>+C15+C27</f>
        <v>0</v>
      </c>
      <c r="D39" s="3">
        <f t="shared" si="10"/>
        <v>0</v>
      </c>
      <c r="E39" s="3">
        <f t="shared" si="10"/>
        <v>0</v>
      </c>
      <c r="F39" s="3">
        <f t="shared" si="10"/>
        <v>0</v>
      </c>
      <c r="G39" s="3">
        <f t="shared" si="10"/>
        <v>0</v>
      </c>
      <c r="H39" s="3">
        <f t="shared" si="10"/>
        <v>0</v>
      </c>
      <c r="I39" s="3">
        <f t="shared" si="10"/>
        <v>-28975635.21373101</v>
      </c>
      <c r="J39" s="3">
        <f t="shared" si="10"/>
        <v>-1852749.764376</v>
      </c>
      <c r="K39" s="3">
        <f t="shared" si="10"/>
        <v>0</v>
      </c>
      <c r="L39" s="3">
        <f t="shared" si="14"/>
        <v>-30828384.978107009</v>
      </c>
      <c r="M39" s="24">
        <v>0</v>
      </c>
    </row>
    <row r="40" spans="1:13" ht="15.75" thickBot="1">
      <c r="A40" s="22">
        <f t="shared" si="11"/>
        <v>10</v>
      </c>
      <c r="B40" s="23" t="s">
        <v>695</v>
      </c>
      <c r="C40" s="27">
        <f>SUM(C35:C39)</f>
        <v>10787343.108415965</v>
      </c>
      <c r="D40" s="27">
        <f t="shared" ref="D40:L40" si="15">SUM(D35:D39)</f>
        <v>27025746.043227091</v>
      </c>
      <c r="E40" s="27">
        <f t="shared" si="15"/>
        <v>13884473.690520797</v>
      </c>
      <c r="F40" s="27">
        <f t="shared" si="15"/>
        <v>5185793.2433187617</v>
      </c>
      <c r="G40" s="27">
        <f t="shared" si="15"/>
        <v>8732891.9826877676</v>
      </c>
      <c r="H40" s="27">
        <f t="shared" si="15"/>
        <v>17554738.030889265</v>
      </c>
      <c r="I40" s="27">
        <f t="shared" si="15"/>
        <v>64466141.636369124</v>
      </c>
      <c r="J40" s="27">
        <f t="shared" si="15"/>
        <v>9312029.5010608807</v>
      </c>
      <c r="K40" s="27">
        <f t="shared" si="15"/>
        <v>16708955.560561808</v>
      </c>
      <c r="L40" s="27">
        <f t="shared" si="15"/>
        <v>173658112.79705146</v>
      </c>
      <c r="M40" s="24">
        <v>0</v>
      </c>
    </row>
    <row r="41" spans="1:13" ht="15.75" thickTop="1"/>
  </sheetData>
  <mergeCells count="1">
    <mergeCell ref="F2:F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A29F-870D-4D63-9D90-86FC03ABA90A}">
  <sheetPr>
    <pageSetUpPr fitToPage="1"/>
  </sheetPr>
  <dimension ref="A1:H11"/>
  <sheetViews>
    <sheetView zoomScale="79" zoomScaleNormal="100" workbookViewId="0">
      <selection activeCell="D30" sqref="D30"/>
    </sheetView>
  </sheetViews>
  <sheetFormatPr defaultRowHeight="15"/>
  <cols>
    <col min="1" max="1" width="33.85546875" style="1" bestFit="1" customWidth="1"/>
    <col min="2" max="2" width="1.5703125" customWidth="1"/>
    <col min="3" max="5" width="16" customWidth="1"/>
    <col min="6" max="6" width="16" style="1" customWidth="1"/>
    <col min="7" max="7" width="16" customWidth="1"/>
    <col min="8" max="8" width="16" style="1" customWidth="1"/>
    <col min="10" max="12" width="12.85546875" bestFit="1" customWidth="1"/>
    <col min="14" max="14" width="12.85546875" bestFit="1" customWidth="1"/>
  </cols>
  <sheetData>
    <row r="1" spans="1:8" ht="18.75">
      <c r="A1" s="68" t="s">
        <v>0</v>
      </c>
      <c r="B1" s="68"/>
      <c r="C1" s="68"/>
      <c r="D1" s="68"/>
      <c r="E1" s="68"/>
      <c r="F1" s="68"/>
      <c r="G1" s="68"/>
      <c r="H1" s="68"/>
    </row>
    <row r="2" spans="1:8" ht="15.75">
      <c r="A2" s="67" t="s">
        <v>17</v>
      </c>
      <c r="B2" s="67"/>
      <c r="C2" s="67"/>
      <c r="D2" s="67"/>
      <c r="E2" s="67"/>
      <c r="F2" s="67"/>
      <c r="G2" s="67"/>
      <c r="H2" s="67"/>
    </row>
    <row r="3" spans="1:8">
      <c r="C3" s="2">
        <v>2022</v>
      </c>
      <c r="D3" s="2">
        <v>2023</v>
      </c>
      <c r="E3" s="2">
        <v>2024</v>
      </c>
      <c r="F3" s="2" t="s">
        <v>2</v>
      </c>
      <c r="G3" s="2">
        <v>2025</v>
      </c>
      <c r="H3" s="2" t="s">
        <v>3</v>
      </c>
    </row>
    <row r="4" spans="1:8">
      <c r="A4" s="1" t="s">
        <v>4</v>
      </c>
      <c r="C4" s="3">
        <f>'Stryker Project Summary'!B25</f>
        <v>46840599.589999996</v>
      </c>
      <c r="D4" s="3">
        <f>'Stryker Project Summary'!C25</f>
        <v>90283071.629999995</v>
      </c>
      <c r="E4" s="3">
        <f>'Stryker Project Summary'!D25</f>
        <v>241886008.14000005</v>
      </c>
      <c r="F4" s="6">
        <f>+SUM(C4:E4)</f>
        <v>379009679.36000001</v>
      </c>
      <c r="G4" s="3">
        <f>'Stryker Project Summary'!F25</f>
        <v>366998187.06</v>
      </c>
      <c r="H4" s="6">
        <f>+F4+G4</f>
        <v>746007866.42000008</v>
      </c>
    </row>
    <row r="5" spans="1:8">
      <c r="C5" s="3"/>
      <c r="D5" s="3"/>
      <c r="E5" s="3"/>
      <c r="F5" s="6"/>
      <c r="G5" s="3"/>
      <c r="H5" s="6"/>
    </row>
    <row r="6" spans="1:8">
      <c r="A6" s="7" t="s">
        <v>18</v>
      </c>
      <c r="C6" s="3">
        <f>'Stryker Project Summary'!B20</f>
        <v>46809929.019999996</v>
      </c>
      <c r="D6" s="3">
        <f>'Stryker Project Summary'!C20</f>
        <v>63126781.360000007</v>
      </c>
      <c r="E6" s="3">
        <f>'Stryker Project Summary'!D20</f>
        <v>142941767.33000001</v>
      </c>
      <c r="F6" s="6">
        <f t="shared" ref="F6:F9" si="0">+SUM(C6:E6)</f>
        <v>252878477.71000001</v>
      </c>
      <c r="G6" s="3">
        <f>'Stryker Project Summary'!F20</f>
        <v>312906044.74000001</v>
      </c>
      <c r="H6" s="6">
        <f t="shared" ref="H6:H9" si="1">+F6+G6</f>
        <v>565784522.45000005</v>
      </c>
    </row>
    <row r="7" spans="1:8">
      <c r="A7" s="7" t="s">
        <v>19</v>
      </c>
      <c r="C7" s="3">
        <f>'Stryker Project Summary'!B22</f>
        <v>0</v>
      </c>
      <c r="D7" s="3">
        <f>'Stryker Project Summary'!C22</f>
        <v>0</v>
      </c>
      <c r="E7" s="3">
        <f>'Stryker Project Summary'!D22</f>
        <v>0</v>
      </c>
      <c r="F7" s="6">
        <f t="shared" si="0"/>
        <v>0</v>
      </c>
      <c r="G7" s="3">
        <f>'Stryker Project Summary'!F22</f>
        <v>6000000</v>
      </c>
      <c r="H7" s="6">
        <f t="shared" si="1"/>
        <v>6000000</v>
      </c>
    </row>
    <row r="8" spans="1:8">
      <c r="A8" s="7" t="s">
        <v>20</v>
      </c>
      <c r="C8" s="3">
        <f>'Stryker Project Summary'!B21</f>
        <v>30670.570000000003</v>
      </c>
      <c r="D8" s="3">
        <f>'Stryker Project Summary'!C21</f>
        <v>27156290.269999996</v>
      </c>
      <c r="E8" s="3">
        <f>'Stryker Project Summary'!D21</f>
        <v>92719613.810000017</v>
      </c>
      <c r="F8" s="6">
        <f t="shared" si="0"/>
        <v>119906574.65000001</v>
      </c>
      <c r="G8" s="3">
        <f>'Stryker Project Summary'!F21</f>
        <v>36160596.32</v>
      </c>
      <c r="H8" s="6">
        <f t="shared" si="1"/>
        <v>156067170.97</v>
      </c>
    </row>
    <row r="9" spans="1:8">
      <c r="A9" s="8" t="s">
        <v>21</v>
      </c>
      <c r="B9" s="9"/>
      <c r="C9" s="10"/>
      <c r="D9" s="10"/>
      <c r="E9" s="10">
        <v>6224627</v>
      </c>
      <c r="F9" s="11">
        <f t="shared" si="0"/>
        <v>6224627</v>
      </c>
      <c r="G9" s="10">
        <v>11931546</v>
      </c>
      <c r="H9" s="11">
        <f t="shared" si="1"/>
        <v>18156173</v>
      </c>
    </row>
    <row r="10" spans="1:8">
      <c r="C10" s="65">
        <f>+SUM(C6:C9)</f>
        <v>46840599.589999996</v>
      </c>
      <c r="D10" s="65">
        <f t="shared" ref="D10:H10" si="2">+SUM(D6:D9)</f>
        <v>90283071.629999995</v>
      </c>
      <c r="E10" s="65">
        <f t="shared" si="2"/>
        <v>241886008.14000005</v>
      </c>
      <c r="F10" s="65">
        <f t="shared" si="2"/>
        <v>379009679.36000001</v>
      </c>
      <c r="G10" s="65">
        <f t="shared" si="2"/>
        <v>366998187.06</v>
      </c>
      <c r="H10" s="65">
        <f t="shared" si="2"/>
        <v>746007866.42000008</v>
      </c>
    </row>
    <row r="11" spans="1:8">
      <c r="C11" s="13">
        <f>+C10-C4</f>
        <v>0</v>
      </c>
      <c r="D11" s="13">
        <f t="shared" ref="D11:H11" si="3">+D10-D4</f>
        <v>0</v>
      </c>
      <c r="E11" s="13">
        <f t="shared" si="3"/>
        <v>0</v>
      </c>
      <c r="F11" s="13">
        <f t="shared" si="3"/>
        <v>0</v>
      </c>
      <c r="G11" s="13">
        <f t="shared" si="3"/>
        <v>0</v>
      </c>
      <c r="H11" s="13">
        <f t="shared" si="3"/>
        <v>0</v>
      </c>
    </row>
  </sheetData>
  <mergeCells count="2">
    <mergeCell ref="A1:H1"/>
    <mergeCell ref="A2:H2"/>
  </mergeCells>
  <pageMargins left="0.7" right="0.7" top="0.75" bottom="0.75" header="0.3" footer="0.3"/>
  <pageSetup scale="93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6338-2E52-4AFD-B0A2-9CFCBA5E2A4F}">
  <dimension ref="A1:H13"/>
  <sheetViews>
    <sheetView zoomScale="145" zoomScaleNormal="145" workbookViewId="0">
      <selection activeCell="C8" sqref="B8:C8"/>
    </sheetView>
  </sheetViews>
  <sheetFormatPr defaultRowHeight="15"/>
  <cols>
    <col min="1" max="1" width="32.42578125" bestFit="1" customWidth="1"/>
    <col min="2" max="3" width="17.42578125" customWidth="1"/>
    <col min="4" max="4" width="2.140625" customWidth="1"/>
    <col min="5" max="5" width="13.85546875" hidden="1" customWidth="1"/>
    <col min="6" max="6" width="5" style="31" hidden="1" customWidth="1"/>
  </cols>
  <sheetData>
    <row r="1" spans="1:8">
      <c r="A1" s="1"/>
      <c r="F1" s="29"/>
      <c r="H1" s="1"/>
    </row>
    <row r="2" spans="1:8" ht="18.75">
      <c r="A2" s="68" t="s">
        <v>1</v>
      </c>
      <c r="B2" s="68"/>
      <c r="C2" s="68"/>
      <c r="D2" s="68"/>
      <c r="E2" s="68"/>
      <c r="F2" s="30"/>
    </row>
    <row r="3" spans="1:8">
      <c r="B3" s="2">
        <v>2026</v>
      </c>
      <c r="C3" s="2">
        <v>2027</v>
      </c>
      <c r="E3" s="2" t="s">
        <v>11</v>
      </c>
    </row>
    <row r="4" spans="1:8">
      <c r="A4" s="4" t="s">
        <v>22</v>
      </c>
      <c r="B4" s="3">
        <v>70262090</v>
      </c>
      <c r="C4" s="3">
        <v>0</v>
      </c>
      <c r="E4" s="13">
        <f t="shared" ref="E4:E12" si="0">+SUM(B4:C4)</f>
        <v>70262090</v>
      </c>
      <c r="F4" s="31">
        <f>+E4-'SABRA BU'!C31</f>
        <v>0.20846156775951385</v>
      </c>
    </row>
    <row r="5" spans="1:8">
      <c r="A5" s="4" t="s">
        <v>23</v>
      </c>
      <c r="B5" s="3">
        <v>175883253</v>
      </c>
      <c r="C5" s="3">
        <v>0</v>
      </c>
      <c r="E5" s="13">
        <f t="shared" si="0"/>
        <v>175883253</v>
      </c>
      <c r="F5" s="31">
        <f>+E5-'SABRA BU'!D31</f>
        <v>0.38538461923599243</v>
      </c>
    </row>
    <row r="6" spans="1:8">
      <c r="A6" s="4" t="s">
        <v>24</v>
      </c>
      <c r="B6" s="3">
        <v>68906417</v>
      </c>
      <c r="C6" s="3">
        <v>27623904</v>
      </c>
      <c r="E6" s="13">
        <f t="shared" si="0"/>
        <v>96530321</v>
      </c>
      <c r="F6" s="31">
        <f>+E6-'SABRA BU'!E31</f>
        <v>-9.6153780817985535E-2</v>
      </c>
    </row>
    <row r="7" spans="1:8">
      <c r="A7" s="4" t="s">
        <v>25</v>
      </c>
      <c r="B7" s="3">
        <v>30959547</v>
      </c>
      <c r="C7" s="3">
        <v>0</v>
      </c>
      <c r="E7" s="13">
        <f t="shared" si="0"/>
        <v>30959547</v>
      </c>
      <c r="F7" s="31">
        <f>+E7-'SABRA BU'!F31</f>
        <v>-0.28461537510156631</v>
      </c>
    </row>
    <row r="8" spans="1:8">
      <c r="A8" s="4" t="s">
        <v>26</v>
      </c>
      <c r="B8" s="3">
        <v>16159560</v>
      </c>
      <c r="C8" s="3">
        <v>37696510</v>
      </c>
      <c r="E8" s="13">
        <f t="shared" si="0"/>
        <v>53856070</v>
      </c>
      <c r="F8" s="31">
        <f>+E8-'SABRA BU'!G31</f>
        <v>2.0000003278255463E-2</v>
      </c>
    </row>
    <row r="9" spans="1:8" hidden="1">
      <c r="A9" s="4" t="s">
        <v>27</v>
      </c>
      <c r="B9" s="3">
        <v>21212812</v>
      </c>
      <c r="C9" s="3">
        <v>50738364</v>
      </c>
      <c r="E9" s="13">
        <f t="shared" si="0"/>
        <v>71951176</v>
      </c>
      <c r="F9" s="31">
        <f>+E9-'SABRA BU'!H31</f>
        <v>-0.83461537957191467</v>
      </c>
    </row>
    <row r="10" spans="1:8">
      <c r="A10" s="4" t="s">
        <v>18</v>
      </c>
      <c r="B10" s="3">
        <v>315176880</v>
      </c>
      <c r="C10" s="3">
        <v>323985153</v>
      </c>
      <c r="E10" s="13">
        <f>+SUM(B10:C10)</f>
        <v>639162033</v>
      </c>
      <c r="F10" s="31">
        <f>+E10-'SABRA BU'!I31</f>
        <v>0.95076918601989746</v>
      </c>
    </row>
    <row r="11" spans="1:8">
      <c r="A11" s="4" t="s">
        <v>20</v>
      </c>
      <c r="B11" s="3">
        <v>45998911</v>
      </c>
      <c r="C11" s="3">
        <v>0</v>
      </c>
      <c r="E11" s="13">
        <f t="shared" si="0"/>
        <v>45998911</v>
      </c>
      <c r="F11" s="31">
        <f>+E11-'SABRA BU'!J31</f>
        <v>-0.10230769217014313</v>
      </c>
    </row>
    <row r="12" spans="1:8" hidden="1">
      <c r="A12" s="4" t="s">
        <v>28</v>
      </c>
      <c r="B12" s="28">
        <v>14671388</v>
      </c>
      <c r="C12" s="28">
        <v>79931490</v>
      </c>
      <c r="E12" s="13">
        <f t="shared" si="0"/>
        <v>94602878</v>
      </c>
      <c r="F12" s="31">
        <f>+E12-'SABRA BU'!K31</f>
        <v>9.9999755620956421E-3</v>
      </c>
    </row>
    <row r="13" spans="1:8" hidden="1">
      <c r="B13" s="13">
        <f>SUM(B4:B11)</f>
        <v>744559470</v>
      </c>
      <c r="C13" s="13">
        <f>SUM(C4:C11)</f>
        <v>440043931</v>
      </c>
      <c r="E13" s="13">
        <f>SUM(E4:E11)</f>
        <v>1184603401</v>
      </c>
    </row>
  </sheetData>
  <mergeCells count="1">
    <mergeCell ref="A2:E2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EFF8-061F-406E-AA8B-BE786D19ED81}">
  <dimension ref="A1:M79"/>
  <sheetViews>
    <sheetView topLeftCell="A22" zoomScale="72" zoomScaleNormal="85" workbookViewId="0">
      <selection activeCell="E59" sqref="E59:E60"/>
    </sheetView>
  </sheetViews>
  <sheetFormatPr defaultRowHeight="15"/>
  <cols>
    <col min="1" max="1" width="36.5703125" bestFit="1" customWidth="1"/>
    <col min="2" max="2" width="20" bestFit="1" customWidth="1"/>
    <col min="3" max="3" width="17.7109375" bestFit="1" customWidth="1"/>
    <col min="4" max="4" width="18.5703125" bestFit="1" customWidth="1"/>
    <col min="5" max="5" width="23.42578125" bestFit="1" customWidth="1"/>
    <col min="6" max="6" width="18.5703125" bestFit="1" customWidth="1"/>
    <col min="7" max="7" width="14.85546875" style="7" bestFit="1" customWidth="1"/>
    <col min="8" max="8" width="36.5703125" style="7" bestFit="1" customWidth="1"/>
    <col min="9" max="9" width="20" style="7" bestFit="1" customWidth="1"/>
    <col min="10" max="11" width="18.5703125" bestFit="1" customWidth="1"/>
    <col min="12" max="12" width="23.42578125" bestFit="1" customWidth="1"/>
    <col min="13" max="13" width="18.140625" bestFit="1" customWidth="1"/>
    <col min="14" max="14" width="20.7109375" bestFit="1" customWidth="1"/>
    <col min="15" max="29" width="9.7109375" bestFit="1" customWidth="1"/>
    <col min="30" max="35" width="8.7109375" bestFit="1" customWidth="1"/>
    <col min="36" max="36" width="5.7109375" bestFit="1" customWidth="1"/>
    <col min="37" max="37" width="7.7109375" bestFit="1" customWidth="1"/>
    <col min="38" max="38" width="6.7109375" bestFit="1" customWidth="1"/>
    <col min="39" max="41" width="7.7109375" bestFit="1" customWidth="1"/>
    <col min="42" max="42" width="6.7109375" bestFit="1" customWidth="1"/>
    <col min="43" max="43" width="2" bestFit="1" customWidth="1"/>
    <col min="44" max="44" width="12.140625" bestFit="1" customWidth="1"/>
    <col min="45" max="48" width="5" bestFit="1" customWidth="1"/>
    <col min="49" max="53" width="7" bestFit="1" customWidth="1"/>
    <col min="54" max="57" width="8" bestFit="1" customWidth="1"/>
    <col min="58" max="58" width="7" bestFit="1" customWidth="1"/>
    <col min="59" max="65" width="8" bestFit="1" customWidth="1"/>
    <col min="66" max="66" width="7" bestFit="1" customWidth="1"/>
    <col min="67" max="73" width="8" bestFit="1" customWidth="1"/>
    <col min="74" max="74" width="9" bestFit="1" customWidth="1"/>
    <col min="75" max="78" width="8" bestFit="1" customWidth="1"/>
    <col min="79" max="91" width="9" bestFit="1" customWidth="1"/>
    <col min="92" max="92" width="8" bestFit="1" customWidth="1"/>
    <col min="93" max="98" width="9" bestFit="1" customWidth="1"/>
    <col min="99" max="99" width="8" bestFit="1" customWidth="1"/>
    <col min="100" max="105" width="9" bestFit="1" customWidth="1"/>
    <col min="106" max="106" width="8" bestFit="1" customWidth="1"/>
    <col min="107" max="116" width="9" bestFit="1" customWidth="1"/>
    <col min="117" max="117" width="6" bestFit="1" customWidth="1"/>
    <col min="118" max="125" width="9" bestFit="1" customWidth="1"/>
    <col min="126" max="126" width="8" bestFit="1" customWidth="1"/>
    <col min="127" max="132" width="9" bestFit="1" customWidth="1"/>
    <col min="133" max="178" width="10" bestFit="1" customWidth="1"/>
    <col min="179" max="179" width="9" bestFit="1" customWidth="1"/>
    <col min="180" max="199" width="10" bestFit="1" customWidth="1"/>
    <col min="200" max="200" width="9" bestFit="1" customWidth="1"/>
    <col min="201" max="201" width="7" bestFit="1" customWidth="1"/>
    <col min="202" max="205" width="10" bestFit="1" customWidth="1"/>
    <col min="206" max="208" width="9" bestFit="1" customWidth="1"/>
    <col min="209" max="211" width="10" bestFit="1" customWidth="1"/>
    <col min="212" max="212" width="7" bestFit="1" customWidth="1"/>
    <col min="213" max="227" width="10" bestFit="1" customWidth="1"/>
    <col min="228" max="232" width="11" bestFit="1" customWidth="1"/>
    <col min="233" max="233" width="10" bestFit="1" customWidth="1"/>
    <col min="234" max="245" width="11" bestFit="1" customWidth="1"/>
    <col min="246" max="246" width="10" bestFit="1" customWidth="1"/>
    <col min="247" max="251" width="11" bestFit="1" customWidth="1"/>
    <col min="252" max="252" width="10" bestFit="1" customWidth="1"/>
    <col min="253" max="259" width="11" bestFit="1" customWidth="1"/>
    <col min="260" max="260" width="10" bestFit="1" customWidth="1"/>
    <col min="261" max="261" width="11" bestFit="1" customWidth="1"/>
    <col min="262" max="262" width="10" bestFit="1" customWidth="1"/>
    <col min="263" max="266" width="11" bestFit="1" customWidth="1"/>
    <col min="267" max="267" width="10" bestFit="1" customWidth="1"/>
    <col min="268" max="272" width="11" bestFit="1" customWidth="1"/>
    <col min="273" max="273" width="8" bestFit="1" customWidth="1"/>
    <col min="274" max="279" width="11" bestFit="1" customWidth="1"/>
    <col min="280" max="280" width="10" bestFit="1" customWidth="1"/>
    <col min="281" max="283" width="12" bestFit="1" customWidth="1"/>
    <col min="284" max="284" width="11" bestFit="1" customWidth="1"/>
    <col min="285" max="293" width="12" bestFit="1" customWidth="1"/>
    <col min="294" max="294" width="7.28515625" bestFit="1" customWidth="1"/>
    <col min="295" max="295" width="12" bestFit="1" customWidth="1"/>
  </cols>
  <sheetData>
    <row r="1" spans="1:13">
      <c r="G1"/>
      <c r="H1"/>
      <c r="I1"/>
    </row>
    <row r="2" spans="1:13">
      <c r="G2"/>
      <c r="H2"/>
      <c r="I2"/>
    </row>
    <row r="3" spans="1:13">
      <c r="A3" s="64" t="s">
        <v>29</v>
      </c>
      <c r="B3" t="s">
        <v>30</v>
      </c>
      <c r="G3"/>
      <c r="H3" s="64" t="s">
        <v>29</v>
      </c>
      <c r="I3" t="s">
        <v>31</v>
      </c>
    </row>
    <row r="4" spans="1:13">
      <c r="A4" s="64" t="s">
        <v>32</v>
      </c>
      <c r="B4" t="s">
        <v>30</v>
      </c>
      <c r="H4" s="64" t="s">
        <v>32</v>
      </c>
      <c r="I4" t="s">
        <v>30</v>
      </c>
    </row>
    <row r="5" spans="1:13">
      <c r="A5" s="64" t="s">
        <v>33</v>
      </c>
      <c r="B5" t="s">
        <v>30</v>
      </c>
      <c r="H5" s="64" t="s">
        <v>33</v>
      </c>
      <c r="I5" t="s">
        <v>30</v>
      </c>
    </row>
    <row r="6" spans="1:13">
      <c r="H6"/>
      <c r="I6"/>
    </row>
    <row r="7" spans="1:13">
      <c r="A7" s="64" t="s">
        <v>34</v>
      </c>
      <c r="B7" t="s">
        <v>35</v>
      </c>
      <c r="C7" t="s">
        <v>36</v>
      </c>
      <c r="D7" t="s">
        <v>37</v>
      </c>
      <c r="E7" t="s">
        <v>38</v>
      </c>
      <c r="F7" t="s">
        <v>39</v>
      </c>
      <c r="H7" s="64" t="s">
        <v>34</v>
      </c>
      <c r="I7" t="s">
        <v>35</v>
      </c>
      <c r="J7" t="s">
        <v>36</v>
      </c>
      <c r="K7" t="s">
        <v>37</v>
      </c>
      <c r="L7" t="s">
        <v>38</v>
      </c>
      <c r="M7" t="s">
        <v>39</v>
      </c>
    </row>
    <row r="8" spans="1:13">
      <c r="A8" s="4" t="s">
        <v>40</v>
      </c>
      <c r="B8" s="41">
        <v>81355279.800000012</v>
      </c>
      <c r="C8" s="41">
        <v>6906723.9500000011</v>
      </c>
      <c r="D8" s="41"/>
      <c r="E8" s="41">
        <v>88262003.75</v>
      </c>
      <c r="F8" s="41"/>
      <c r="H8" s="4" t="s">
        <v>41</v>
      </c>
      <c r="I8" s="41">
        <v>6692230.4199999999</v>
      </c>
      <c r="J8" s="41">
        <v>22688019.729999997</v>
      </c>
      <c r="K8" s="41">
        <v>6875767</v>
      </c>
      <c r="L8" s="41">
        <v>36256017.149999991</v>
      </c>
      <c r="M8" s="41"/>
    </row>
    <row r="9" spans="1:13">
      <c r="A9" s="4" t="s">
        <v>42</v>
      </c>
      <c r="B9" s="41">
        <v>18239968.930000003</v>
      </c>
      <c r="C9" s="41">
        <v>30784667.91</v>
      </c>
      <c r="D9" s="41">
        <v>16616272</v>
      </c>
      <c r="E9" s="41">
        <v>65640908.840000004</v>
      </c>
      <c r="F9" s="41">
        <v>21780347.880000003</v>
      </c>
      <c r="H9" s="4" t="s">
        <v>6</v>
      </c>
      <c r="I9" s="41">
        <v>11367712.030000001</v>
      </c>
      <c r="J9" s="41">
        <v>42987391.480000004</v>
      </c>
      <c r="K9" s="41">
        <v>23656329</v>
      </c>
      <c r="L9" s="41">
        <v>78011432.510000005</v>
      </c>
      <c r="M9" s="41">
        <v>33255933</v>
      </c>
    </row>
    <row r="10" spans="1:13">
      <c r="A10" s="4" t="s">
        <v>43</v>
      </c>
      <c r="B10" s="41">
        <v>6628123.4500000002</v>
      </c>
      <c r="C10" s="41">
        <v>13220111.57</v>
      </c>
      <c r="D10" s="41">
        <v>20362978.450000003</v>
      </c>
      <c r="E10" s="41">
        <v>40211213.470000006</v>
      </c>
      <c r="F10" s="41">
        <v>8437405.0399999991</v>
      </c>
      <c r="H10" s="4" t="s">
        <v>44</v>
      </c>
      <c r="I10" s="41">
        <v>18059942.450000003</v>
      </c>
      <c r="J10" s="41">
        <v>65675411.210000001</v>
      </c>
      <c r="K10" s="41">
        <v>30532096</v>
      </c>
      <c r="L10" s="41">
        <v>114267449.66</v>
      </c>
      <c r="M10" s="41">
        <v>33255933</v>
      </c>
    </row>
    <row r="11" spans="1:13">
      <c r="A11" s="4" t="s">
        <v>21</v>
      </c>
      <c r="B11" s="41">
        <v>4641155.8599999994</v>
      </c>
      <c r="C11" s="41">
        <v>1530447.6300000001</v>
      </c>
      <c r="D11" s="41">
        <v>9426741</v>
      </c>
      <c r="E11" s="41">
        <v>15598344.49</v>
      </c>
      <c r="F11" s="41">
        <v>17055632.079999998</v>
      </c>
      <c r="H11"/>
      <c r="I11"/>
    </row>
    <row r="12" spans="1:13">
      <c r="A12" s="4" t="s">
        <v>45</v>
      </c>
      <c r="B12" s="41">
        <v>44033046.539999992</v>
      </c>
      <c r="C12" s="41">
        <v>73716115.330000013</v>
      </c>
      <c r="D12" s="41">
        <v>48362415.030000001</v>
      </c>
      <c r="E12" s="41">
        <v>166111576.90000004</v>
      </c>
      <c r="F12" s="41">
        <v>67550865.209999993</v>
      </c>
      <c r="H12"/>
      <c r="I12"/>
    </row>
    <row r="13" spans="1:13">
      <c r="A13" s="4" t="s">
        <v>46</v>
      </c>
      <c r="B13" s="41">
        <v>25060743.869999997</v>
      </c>
      <c r="C13" s="41">
        <v>33938889.270000003</v>
      </c>
      <c r="D13" s="41">
        <v>28714146.900000002</v>
      </c>
      <c r="E13" s="41">
        <v>86991620.670000017</v>
      </c>
      <c r="F13" s="41">
        <v>33320408.549999997</v>
      </c>
      <c r="H13" s="64" t="s">
        <v>29</v>
      </c>
      <c r="I13" t="s">
        <v>47</v>
      </c>
    </row>
    <row r="14" spans="1:13">
      <c r="A14" s="4" t="s">
        <v>48</v>
      </c>
      <c r="B14" s="41">
        <v>2607391.5199999996</v>
      </c>
      <c r="C14" s="41">
        <v>6044795.5799999991</v>
      </c>
      <c r="D14" s="41">
        <v>3093168</v>
      </c>
      <c r="E14" s="41">
        <v>11745355.1</v>
      </c>
      <c r="F14" s="41">
        <v>4178415</v>
      </c>
      <c r="H14" s="64" t="s">
        <v>32</v>
      </c>
      <c r="I14" t="s">
        <v>30</v>
      </c>
    </row>
    <row r="15" spans="1:13">
      <c r="A15" s="4" t="s">
        <v>41</v>
      </c>
      <c r="B15" s="41">
        <v>6692230.4199999999</v>
      </c>
      <c r="C15" s="41">
        <v>22688019.729999993</v>
      </c>
      <c r="D15" s="41">
        <v>6875767</v>
      </c>
      <c r="E15" s="41">
        <v>36256017.149999991</v>
      </c>
      <c r="F15" s="41"/>
      <c r="H15" s="64" t="s">
        <v>33</v>
      </c>
      <c r="I15" t="s">
        <v>30</v>
      </c>
    </row>
    <row r="16" spans="1:13">
      <c r="A16" s="4" t="s">
        <v>49</v>
      </c>
      <c r="B16" s="41">
        <v>205961726.06999999</v>
      </c>
      <c r="C16" s="41">
        <v>176835278.04000005</v>
      </c>
      <c r="D16" s="41">
        <v>4131097.4000000004</v>
      </c>
      <c r="E16" s="41">
        <v>386928101.51000005</v>
      </c>
      <c r="F16" s="41"/>
      <c r="H16"/>
      <c r="I16"/>
    </row>
    <row r="17" spans="1:13">
      <c r="A17" s="4" t="s">
        <v>18</v>
      </c>
      <c r="B17" s="41">
        <v>46809929.019999996</v>
      </c>
      <c r="C17" s="41">
        <v>63126781.360000007</v>
      </c>
      <c r="D17" s="41">
        <v>142941767.32999998</v>
      </c>
      <c r="E17" s="41">
        <v>252878477.71000001</v>
      </c>
      <c r="F17" s="41">
        <v>312906044.74000001</v>
      </c>
      <c r="H17" s="64" t="s">
        <v>34</v>
      </c>
      <c r="I17" t="s">
        <v>35</v>
      </c>
      <c r="J17" t="s">
        <v>36</v>
      </c>
      <c r="K17" t="s">
        <v>37</v>
      </c>
      <c r="L17" t="s">
        <v>38</v>
      </c>
      <c r="M17" t="s">
        <v>39</v>
      </c>
    </row>
    <row r="18" spans="1:13">
      <c r="A18" s="4" t="s">
        <v>50</v>
      </c>
      <c r="B18" s="41"/>
      <c r="C18" s="41"/>
      <c r="D18" s="41">
        <v>3611610</v>
      </c>
      <c r="E18" s="41">
        <v>3611610</v>
      </c>
      <c r="F18" s="41">
        <v>103825277.03999999</v>
      </c>
      <c r="H18" s="4" t="s">
        <v>40</v>
      </c>
      <c r="I18" s="41">
        <v>81355279.799999997</v>
      </c>
      <c r="J18" s="41">
        <v>6906723.9500000011</v>
      </c>
      <c r="K18" s="41"/>
      <c r="L18" s="41">
        <v>88262003.75</v>
      </c>
      <c r="M18" s="41"/>
    </row>
    <row r="19" spans="1:13">
      <c r="A19" s="4" t="s">
        <v>22</v>
      </c>
      <c r="B19" s="41">
        <v>18653649.980000004</v>
      </c>
      <c r="C19" s="41">
        <v>38923412.560000025</v>
      </c>
      <c r="D19" s="41">
        <v>77940829.370000005</v>
      </c>
      <c r="E19" s="41">
        <v>135517891.91000003</v>
      </c>
      <c r="F19" s="41">
        <v>53226774.230000004</v>
      </c>
      <c r="H19" s="4" t="s">
        <v>49</v>
      </c>
      <c r="I19" s="41">
        <v>200814476.07999998</v>
      </c>
      <c r="J19" s="41">
        <v>181599088.07999998</v>
      </c>
      <c r="K19" s="41">
        <v>4131097.4</v>
      </c>
      <c r="L19" s="41">
        <v>386544661.56</v>
      </c>
      <c r="M19" s="41"/>
    </row>
    <row r="20" spans="1:13">
      <c r="A20" s="4" t="s">
        <v>23</v>
      </c>
      <c r="B20" s="41">
        <v>17563240.770000003</v>
      </c>
      <c r="C20" s="41">
        <v>80192074.970000014</v>
      </c>
      <c r="D20" s="41">
        <v>161065896.17999998</v>
      </c>
      <c r="E20" s="41">
        <v>258821211.91999999</v>
      </c>
      <c r="F20" s="41">
        <v>70384705.760000005</v>
      </c>
      <c r="H20" s="4" t="s">
        <v>18</v>
      </c>
      <c r="I20" s="41">
        <v>2854646.8000000003</v>
      </c>
      <c r="J20" s="41">
        <v>55345198.280000001</v>
      </c>
      <c r="K20" s="41">
        <v>84570896.479999989</v>
      </c>
      <c r="L20" s="41">
        <v>142770741.56</v>
      </c>
      <c r="M20" s="41">
        <v>8874498.3900000006</v>
      </c>
    </row>
    <row r="21" spans="1:13">
      <c r="A21" s="4" t="s">
        <v>24</v>
      </c>
      <c r="B21" s="41">
        <v>7140435.3900000015</v>
      </c>
      <c r="C21" s="41">
        <v>64162062.960000023</v>
      </c>
      <c r="D21" s="41">
        <v>53918305.730000004</v>
      </c>
      <c r="E21" s="41">
        <v>125220804.08000003</v>
      </c>
      <c r="F21" s="41">
        <v>33470470.379999999</v>
      </c>
      <c r="H21" s="4" t="s">
        <v>20</v>
      </c>
      <c r="I21" s="41">
        <v>30670.570000000003</v>
      </c>
      <c r="J21" s="41">
        <v>10426049.030000001</v>
      </c>
      <c r="K21" s="41">
        <v>8390956.0399999991</v>
      </c>
      <c r="L21" s="41">
        <v>18847675.640000001</v>
      </c>
      <c r="M21" s="41">
        <v>132000</v>
      </c>
    </row>
    <row r="22" spans="1:13">
      <c r="A22" s="4" t="s">
        <v>25</v>
      </c>
      <c r="B22" s="41"/>
      <c r="C22" s="41">
        <v>13820808.930000002</v>
      </c>
      <c r="D22" s="41">
        <v>24348195.620000001</v>
      </c>
      <c r="E22" s="41">
        <v>38169004.550000004</v>
      </c>
      <c r="F22" s="41">
        <v>39526861.709999993</v>
      </c>
      <c r="H22" s="4" t="s">
        <v>16</v>
      </c>
      <c r="I22" s="41">
        <v>24530792.269999992</v>
      </c>
      <c r="J22" s="41">
        <v>4406279.7699999986</v>
      </c>
      <c r="K22" s="41">
        <v>12440511</v>
      </c>
      <c r="L22" s="41">
        <v>41377583.039999992</v>
      </c>
      <c r="M22" s="41"/>
    </row>
    <row r="23" spans="1:13">
      <c r="A23" s="4" t="s">
        <v>26</v>
      </c>
      <c r="B23" s="41"/>
      <c r="C23" s="41">
        <v>882719.05</v>
      </c>
      <c r="D23" s="41">
        <v>250000</v>
      </c>
      <c r="E23" s="41">
        <v>1132719.05</v>
      </c>
      <c r="F23" s="41">
        <v>4374278</v>
      </c>
      <c r="H23" s="4" t="s">
        <v>44</v>
      </c>
      <c r="I23" s="41">
        <v>309585865.51999998</v>
      </c>
      <c r="J23" s="41">
        <v>258683339.10999998</v>
      </c>
      <c r="K23" s="41">
        <v>109533460.91999999</v>
      </c>
      <c r="L23" s="41">
        <v>677802665.54999995</v>
      </c>
      <c r="M23" s="41">
        <v>9006498.3900000006</v>
      </c>
    </row>
    <row r="24" spans="1:13">
      <c r="A24" s="4" t="s">
        <v>20</v>
      </c>
      <c r="B24" s="41">
        <v>30670.570000000003</v>
      </c>
      <c r="C24" s="41">
        <v>27156290.27</v>
      </c>
      <c r="D24" s="41">
        <v>92719613.810000002</v>
      </c>
      <c r="E24" s="41">
        <v>119906574.65000001</v>
      </c>
      <c r="F24" s="41">
        <v>36160596.32</v>
      </c>
      <c r="H24"/>
      <c r="I24"/>
    </row>
    <row r="25" spans="1:13">
      <c r="A25" s="4" t="s">
        <v>6</v>
      </c>
      <c r="B25" s="41">
        <v>11367712.029999999</v>
      </c>
      <c r="C25" s="41">
        <v>42987391.480000004</v>
      </c>
      <c r="D25" s="41">
        <v>23656329</v>
      </c>
      <c r="E25" s="41">
        <v>78011432.50999999</v>
      </c>
      <c r="F25" s="41">
        <v>33255933</v>
      </c>
      <c r="H25" s="62" t="s">
        <v>51</v>
      </c>
      <c r="I25" s="63">
        <f>+I18+I19</f>
        <v>282169755.88</v>
      </c>
      <c r="J25" s="63">
        <f>+J18+J19</f>
        <v>188505812.02999997</v>
      </c>
      <c r="K25" s="63">
        <f>+K18+K19</f>
        <v>4131097.4</v>
      </c>
      <c r="L25" s="63">
        <f>+L18+L19</f>
        <v>474806665.31</v>
      </c>
      <c r="M25" s="63">
        <f>+M18+M19</f>
        <v>0</v>
      </c>
    </row>
    <row r="26" spans="1:13">
      <c r="A26" s="4" t="s">
        <v>16</v>
      </c>
      <c r="B26" s="41">
        <v>24530792.269999992</v>
      </c>
      <c r="C26" s="41">
        <v>4406279.7699999986</v>
      </c>
      <c r="D26" s="41">
        <v>12440511</v>
      </c>
      <c r="E26" s="41">
        <v>41377583.039999992</v>
      </c>
      <c r="F26" s="41"/>
      <c r="H26"/>
      <c r="I26" s="41"/>
      <c r="J26" s="41"/>
      <c r="K26" s="41"/>
      <c r="L26" s="41"/>
      <c r="M26" s="41"/>
    </row>
    <row r="27" spans="1:13">
      <c r="A27" s="4" t="s">
        <v>19</v>
      </c>
      <c r="B27" s="41"/>
      <c r="C27" s="41"/>
      <c r="D27" s="41"/>
      <c r="E27" s="41">
        <v>0</v>
      </c>
      <c r="F27" s="41">
        <v>6000000</v>
      </c>
      <c r="H27"/>
      <c r="I27" s="41"/>
      <c r="J27" s="41"/>
      <c r="K27" s="41"/>
      <c r="L27" s="41"/>
      <c r="M27" s="41"/>
    </row>
    <row r="28" spans="1:13">
      <c r="A28" s="4" t="s">
        <v>44</v>
      </c>
      <c r="B28" s="41">
        <v>521316096.48999995</v>
      </c>
      <c r="C28" s="41">
        <v>701322870.36000001</v>
      </c>
      <c r="D28" s="41">
        <v>730475643.81999993</v>
      </c>
      <c r="E28" s="41">
        <v>1952392451.3000002</v>
      </c>
      <c r="F28" s="41">
        <v>845454014.94000006</v>
      </c>
      <c r="H28"/>
      <c r="I28" s="41"/>
      <c r="J28" s="41"/>
      <c r="K28" s="41"/>
      <c r="L28" s="41"/>
      <c r="M28" s="41"/>
    </row>
    <row r="29" spans="1:13">
      <c r="H29"/>
      <c r="I29" s="41"/>
      <c r="J29" s="41"/>
      <c r="K29" s="41"/>
      <c r="L29" s="41"/>
      <c r="M29" s="41"/>
    </row>
    <row r="30" spans="1:13">
      <c r="H30"/>
      <c r="I30" s="41"/>
      <c r="J30" s="41"/>
      <c r="K30" s="41"/>
      <c r="L30" s="41"/>
      <c r="M30" s="41"/>
    </row>
    <row r="31" spans="1:13">
      <c r="A31" s="64" t="s">
        <v>29</v>
      </c>
      <c r="B31" t="s">
        <v>9</v>
      </c>
      <c r="H31" s="64" t="s">
        <v>29</v>
      </c>
      <c r="I31" t="s">
        <v>52</v>
      </c>
    </row>
    <row r="32" spans="1:13">
      <c r="A32" s="64" t="s">
        <v>32</v>
      </c>
      <c r="B32" t="s">
        <v>30</v>
      </c>
      <c r="H32" s="64" t="s">
        <v>32</v>
      </c>
      <c r="I32" t="s">
        <v>30</v>
      </c>
    </row>
    <row r="33" spans="1:13">
      <c r="A33" s="64" t="s">
        <v>33</v>
      </c>
      <c r="B33" t="s">
        <v>30</v>
      </c>
      <c r="H33" s="64" t="s">
        <v>33</v>
      </c>
      <c r="I33" t="s">
        <v>30</v>
      </c>
    </row>
    <row r="34" spans="1:13">
      <c r="H34"/>
      <c r="I34"/>
    </row>
    <row r="35" spans="1:13">
      <c r="A35" s="64" t="s">
        <v>34</v>
      </c>
      <c r="B35" t="s">
        <v>35</v>
      </c>
      <c r="C35" t="s">
        <v>36</v>
      </c>
      <c r="D35" t="s">
        <v>37</v>
      </c>
      <c r="E35" t="s">
        <v>38</v>
      </c>
      <c r="F35" t="s">
        <v>39</v>
      </c>
      <c r="H35" s="64" t="s">
        <v>34</v>
      </c>
      <c r="I35" t="s">
        <v>35</v>
      </c>
      <c r="J35" t="s">
        <v>36</v>
      </c>
      <c r="K35" t="s">
        <v>37</v>
      </c>
      <c r="L35" t="s">
        <v>38</v>
      </c>
      <c r="M35" t="s">
        <v>39</v>
      </c>
    </row>
    <row r="36" spans="1:13">
      <c r="A36" s="4" t="s">
        <v>42</v>
      </c>
      <c r="B36" s="41">
        <v>18239968.930000003</v>
      </c>
      <c r="C36" s="41">
        <v>30784667.910000004</v>
      </c>
      <c r="D36" s="41">
        <v>16616272</v>
      </c>
      <c r="E36" s="41">
        <v>65640908.840000004</v>
      </c>
      <c r="F36" s="41">
        <v>21780347.879999999</v>
      </c>
      <c r="H36" s="4" t="s">
        <v>18</v>
      </c>
      <c r="I36" s="41">
        <v>43955282.219999999</v>
      </c>
      <c r="J36" s="41">
        <v>7781583.0800000019</v>
      </c>
      <c r="K36" s="41">
        <v>58370870.850000001</v>
      </c>
      <c r="L36" s="41">
        <v>110107736.15000001</v>
      </c>
      <c r="M36" s="41">
        <v>304031546.34999996</v>
      </c>
    </row>
    <row r="37" spans="1:13">
      <c r="A37" s="4" t="s">
        <v>43</v>
      </c>
      <c r="B37" s="41">
        <v>6628123.4500000002</v>
      </c>
      <c r="C37" s="41">
        <v>13220111.57</v>
      </c>
      <c r="D37" s="41">
        <v>20362978.449999999</v>
      </c>
      <c r="E37" s="41">
        <v>40211213.469999999</v>
      </c>
      <c r="F37" s="41">
        <v>8437405.0399999991</v>
      </c>
      <c r="H37" s="4" t="s">
        <v>50</v>
      </c>
      <c r="I37" s="41"/>
      <c r="J37" s="41"/>
      <c r="K37" s="41">
        <v>3611610</v>
      </c>
      <c r="L37" s="41">
        <v>3611610</v>
      </c>
      <c r="M37" s="41">
        <v>103825277.03999999</v>
      </c>
    </row>
    <row r="38" spans="1:13">
      <c r="A38" s="4" t="s">
        <v>21</v>
      </c>
      <c r="B38" s="41">
        <v>4641155.8600000003</v>
      </c>
      <c r="C38" s="41">
        <v>1530447.6299999997</v>
      </c>
      <c r="D38" s="41">
        <v>9426741</v>
      </c>
      <c r="E38" s="41">
        <v>15598344.49</v>
      </c>
      <c r="F38" s="41">
        <v>17055632.079999998</v>
      </c>
      <c r="H38" s="4" t="s">
        <v>22</v>
      </c>
      <c r="I38" s="41">
        <v>18653649.980000004</v>
      </c>
      <c r="J38" s="41">
        <v>38923412.560000025</v>
      </c>
      <c r="K38" s="41">
        <v>77940829.370000005</v>
      </c>
      <c r="L38" s="41">
        <v>135517891.91000003</v>
      </c>
      <c r="M38" s="41">
        <v>53226774.230000004</v>
      </c>
    </row>
    <row r="39" spans="1:13">
      <c r="A39" s="4" t="s">
        <v>45</v>
      </c>
      <c r="B39" s="41">
        <v>44033046.539999992</v>
      </c>
      <c r="C39" s="41">
        <v>73716115.330000013</v>
      </c>
      <c r="D39" s="41">
        <v>48362415.030000001</v>
      </c>
      <c r="E39" s="41">
        <v>166111576.90000004</v>
      </c>
      <c r="F39" s="41">
        <v>67550865.209999993</v>
      </c>
      <c r="H39" s="4" t="s">
        <v>23</v>
      </c>
      <c r="I39" s="41">
        <v>17563240.770000003</v>
      </c>
      <c r="J39" s="41">
        <v>80192074.970000014</v>
      </c>
      <c r="K39" s="41">
        <v>161065896.17999998</v>
      </c>
      <c r="L39" s="41">
        <v>258821211.91999999</v>
      </c>
      <c r="M39" s="41">
        <v>70384705.760000005</v>
      </c>
    </row>
    <row r="40" spans="1:13">
      <c r="A40" s="4" t="s">
        <v>46</v>
      </c>
      <c r="B40" s="41">
        <v>25060743.870000001</v>
      </c>
      <c r="C40" s="41">
        <v>33938889.269999996</v>
      </c>
      <c r="D40" s="41">
        <v>28714146.900000006</v>
      </c>
      <c r="E40" s="41">
        <v>86991620.670000032</v>
      </c>
      <c r="F40" s="41">
        <v>33320408.549999997</v>
      </c>
      <c r="H40" s="4" t="s">
        <v>24</v>
      </c>
      <c r="I40" s="41">
        <v>7140435.3900000015</v>
      </c>
      <c r="J40" s="41">
        <v>64162062.960000023</v>
      </c>
      <c r="K40" s="41">
        <v>53918305.730000004</v>
      </c>
      <c r="L40" s="41">
        <v>125220804.08000003</v>
      </c>
      <c r="M40" s="41">
        <v>33470470.379999999</v>
      </c>
    </row>
    <row r="41" spans="1:13">
      <c r="A41" s="4" t="s">
        <v>48</v>
      </c>
      <c r="B41" s="41">
        <v>2607391.5199999996</v>
      </c>
      <c r="C41" s="41">
        <v>6044795.5799999991</v>
      </c>
      <c r="D41" s="41">
        <v>3093168</v>
      </c>
      <c r="E41" s="41">
        <v>11745355.1</v>
      </c>
      <c r="F41" s="41">
        <v>4178415</v>
      </c>
      <c r="H41" s="4" t="s">
        <v>25</v>
      </c>
      <c r="I41" s="41"/>
      <c r="J41" s="41">
        <v>13820808.930000002</v>
      </c>
      <c r="K41" s="41">
        <v>24348195.620000001</v>
      </c>
      <c r="L41" s="41">
        <v>38169004.550000004</v>
      </c>
      <c r="M41" s="41">
        <v>39526861.709999993</v>
      </c>
    </row>
    <row r="42" spans="1:13">
      <c r="A42" s="4" t="s">
        <v>49</v>
      </c>
      <c r="B42" s="41">
        <v>5147249.99</v>
      </c>
      <c r="C42" s="41">
        <v>-4763810.04</v>
      </c>
      <c r="D42" s="41"/>
      <c r="E42" s="41">
        <v>383439.94999999995</v>
      </c>
      <c r="F42" s="41"/>
      <c r="H42" s="4" t="s">
        <v>26</v>
      </c>
      <c r="I42" s="41"/>
      <c r="J42" s="41">
        <v>882719.05</v>
      </c>
      <c r="K42" s="41">
        <v>250000</v>
      </c>
      <c r="L42" s="41">
        <v>1132719.05</v>
      </c>
      <c r="M42" s="41">
        <v>4374278</v>
      </c>
    </row>
    <row r="43" spans="1:13">
      <c r="A43" s="4" t="s">
        <v>19</v>
      </c>
      <c r="B43" s="41"/>
      <c r="C43" s="41"/>
      <c r="D43" s="41"/>
      <c r="E43" s="41">
        <v>0</v>
      </c>
      <c r="F43" s="41">
        <v>6000000</v>
      </c>
      <c r="H43" s="4" t="s">
        <v>20</v>
      </c>
      <c r="I43" s="41"/>
      <c r="J43" s="41">
        <v>16730241.239999998</v>
      </c>
      <c r="K43" s="41">
        <v>84328657.770000011</v>
      </c>
      <c r="L43" s="41">
        <v>101058899.01000001</v>
      </c>
      <c r="M43" s="41">
        <v>36028596.32</v>
      </c>
    </row>
    <row r="44" spans="1:13">
      <c r="A44" s="4" t="s">
        <v>44</v>
      </c>
      <c r="B44" s="41">
        <v>106357680.16</v>
      </c>
      <c r="C44" s="41">
        <v>154471217.25000006</v>
      </c>
      <c r="D44" s="41">
        <v>126575721.38000001</v>
      </c>
      <c r="E44" s="41">
        <v>386682459.42000008</v>
      </c>
      <c r="F44" s="41">
        <v>158323073.75999999</v>
      </c>
      <c r="H44" s="4" t="s">
        <v>44</v>
      </c>
      <c r="I44" s="41">
        <v>87312608.359999999</v>
      </c>
      <c r="J44" s="41">
        <v>222492902.79000008</v>
      </c>
      <c r="K44" s="41">
        <v>463834365.51999998</v>
      </c>
      <c r="L44" s="41">
        <v>773639876.66999996</v>
      </c>
      <c r="M44" s="41">
        <v>644868509.79000008</v>
      </c>
    </row>
    <row r="45" spans="1:13">
      <c r="H45"/>
      <c r="I45"/>
    </row>
    <row r="47" spans="1:13">
      <c r="H47" s="7" t="s">
        <v>13</v>
      </c>
      <c r="I47" s="46">
        <f>-(I39+I40+I41+I42+I38)</f>
        <v>-43357326.140000008</v>
      </c>
      <c r="J47" s="46">
        <f>-(J39+J40+J41+J42+J38)</f>
        <v>-197981078.47000009</v>
      </c>
      <c r="K47" s="46">
        <f>-(K39+K40+K41+K42+K38)</f>
        <v>-317523226.89999998</v>
      </c>
      <c r="L47" s="46">
        <f>-(L39+L40+L41+L42+L38)</f>
        <v>-558861631.50999999</v>
      </c>
      <c r="M47" s="46">
        <f>-(M39+M40+M41+M42+M38)</f>
        <v>-200983090.07999998</v>
      </c>
    </row>
    <row r="48" spans="1:13">
      <c r="I48" s="46">
        <f>-I47</f>
        <v>43357326.140000008</v>
      </c>
      <c r="J48" s="46">
        <f t="shared" ref="J48:M48" si="0">-J47</f>
        <v>197981078.47000009</v>
      </c>
      <c r="K48" s="46">
        <f t="shared" si="0"/>
        <v>317523226.89999998</v>
      </c>
      <c r="L48" s="46">
        <f t="shared" si="0"/>
        <v>558861631.50999999</v>
      </c>
      <c r="M48" s="46">
        <f t="shared" si="0"/>
        <v>200983090.07999998</v>
      </c>
    </row>
    <row r="50" spans="1:9">
      <c r="A50" s="64" t="s">
        <v>29</v>
      </c>
      <c r="B50" t="s">
        <v>52</v>
      </c>
    </row>
    <row r="51" spans="1:9">
      <c r="A51" s="64" t="s">
        <v>32</v>
      </c>
      <c r="B51" t="s">
        <v>30</v>
      </c>
    </row>
    <row r="52" spans="1:9">
      <c r="A52" s="64" t="s">
        <v>33</v>
      </c>
      <c r="B52" t="s">
        <v>30</v>
      </c>
      <c r="H52"/>
      <c r="I52"/>
    </row>
    <row r="53" spans="1:9">
      <c r="H53"/>
      <c r="I53"/>
    </row>
    <row r="54" spans="1:9">
      <c r="A54" s="64" t="s">
        <v>34</v>
      </c>
      <c r="B54" t="s">
        <v>35</v>
      </c>
      <c r="C54" t="s">
        <v>36</v>
      </c>
      <c r="D54" t="s">
        <v>37</v>
      </c>
      <c r="E54" t="s">
        <v>38</v>
      </c>
      <c r="F54" t="s">
        <v>39</v>
      </c>
      <c r="H54"/>
      <c r="I54"/>
    </row>
    <row r="55" spans="1:9">
      <c r="A55" s="4" t="s">
        <v>40</v>
      </c>
      <c r="B55" s="41">
        <v>81355279.799999997</v>
      </c>
      <c r="C55" s="41">
        <v>6906723.9500000011</v>
      </c>
      <c r="D55" s="41"/>
      <c r="E55" s="41">
        <v>88262003.75</v>
      </c>
      <c r="F55" s="41"/>
      <c r="H55"/>
      <c r="I55"/>
    </row>
    <row r="56" spans="1:9">
      <c r="A56" s="4" t="s">
        <v>49</v>
      </c>
      <c r="B56" s="41">
        <v>200814476.07999998</v>
      </c>
      <c r="C56" s="41">
        <v>181599088.07999998</v>
      </c>
      <c r="D56" s="41">
        <v>4131097.4</v>
      </c>
      <c r="E56" s="41">
        <v>386544661.56</v>
      </c>
      <c r="F56" s="41"/>
      <c r="H56"/>
      <c r="I56"/>
    </row>
    <row r="57" spans="1:9">
      <c r="A57" s="4" t="s">
        <v>18</v>
      </c>
      <c r="B57" s="41">
        <v>46809929.019999996</v>
      </c>
      <c r="C57" s="41">
        <v>63126781.360000007</v>
      </c>
      <c r="D57" s="41">
        <v>142941767.33000001</v>
      </c>
      <c r="E57" s="41">
        <v>252878477.70999998</v>
      </c>
      <c r="F57" s="41">
        <v>312906044.74000001</v>
      </c>
      <c r="H57"/>
      <c r="I57"/>
    </row>
    <row r="58" spans="1:9">
      <c r="A58" s="4" t="s">
        <v>50</v>
      </c>
      <c r="B58" s="41"/>
      <c r="C58" s="41"/>
      <c r="D58" s="41">
        <v>3611610</v>
      </c>
      <c r="E58" s="41">
        <v>3611610</v>
      </c>
      <c r="F58" s="41">
        <v>103825277.03999999</v>
      </c>
      <c r="H58"/>
      <c r="I58"/>
    </row>
    <row r="59" spans="1:9">
      <c r="A59" s="4" t="s">
        <v>22</v>
      </c>
      <c r="B59" s="41">
        <v>18653649.980000004</v>
      </c>
      <c r="C59" s="41">
        <v>38923412.560000025</v>
      </c>
      <c r="D59" s="41">
        <v>77940829.370000005</v>
      </c>
      <c r="E59" s="41">
        <v>135517891.91000003</v>
      </c>
      <c r="F59" s="41">
        <v>53226774.230000004</v>
      </c>
      <c r="H59"/>
      <c r="I59"/>
    </row>
    <row r="60" spans="1:9">
      <c r="A60" s="4" t="s">
        <v>23</v>
      </c>
      <c r="B60" s="41">
        <v>17563240.770000003</v>
      </c>
      <c r="C60" s="41">
        <v>80192074.970000014</v>
      </c>
      <c r="D60" s="41">
        <v>161065896.17999998</v>
      </c>
      <c r="E60" s="41">
        <v>258821211.91999999</v>
      </c>
      <c r="F60" s="41">
        <v>70384705.760000005</v>
      </c>
      <c r="H60"/>
      <c r="I60"/>
    </row>
    <row r="61" spans="1:9">
      <c r="A61" s="4" t="s">
        <v>24</v>
      </c>
      <c r="B61" s="41">
        <v>7140435.3900000015</v>
      </c>
      <c r="C61" s="41">
        <v>64162062.960000023</v>
      </c>
      <c r="D61" s="41">
        <v>53918305.730000004</v>
      </c>
      <c r="E61" s="41">
        <v>125220804.08000003</v>
      </c>
      <c r="F61" s="41">
        <v>33470470.379999999</v>
      </c>
      <c r="H61"/>
      <c r="I61"/>
    </row>
    <row r="62" spans="1:9">
      <c r="A62" s="4" t="s">
        <v>25</v>
      </c>
      <c r="B62" s="41"/>
      <c r="C62" s="41">
        <v>13820808.930000002</v>
      </c>
      <c r="D62" s="41">
        <v>24348195.620000001</v>
      </c>
      <c r="E62" s="41">
        <v>38169004.550000004</v>
      </c>
      <c r="F62" s="41">
        <v>39526861.709999993</v>
      </c>
      <c r="H62"/>
      <c r="I62"/>
    </row>
    <row r="63" spans="1:9">
      <c r="A63" s="4" t="s">
        <v>26</v>
      </c>
      <c r="B63" s="41"/>
      <c r="C63" s="41">
        <v>882719.05</v>
      </c>
      <c r="D63" s="41">
        <v>250000</v>
      </c>
      <c r="E63" s="41">
        <v>1132719.05</v>
      </c>
      <c r="F63" s="41">
        <v>4374278</v>
      </c>
      <c r="H63"/>
      <c r="I63"/>
    </row>
    <row r="64" spans="1:9">
      <c r="A64" s="4" t="s">
        <v>20</v>
      </c>
      <c r="B64" s="41">
        <v>30670.570000000003</v>
      </c>
      <c r="C64" s="41">
        <v>27156290.269999996</v>
      </c>
      <c r="D64" s="41">
        <v>92719613.810000017</v>
      </c>
      <c r="E64" s="41">
        <v>119906574.65000002</v>
      </c>
      <c r="F64" s="41">
        <v>36160596.32</v>
      </c>
      <c r="H64"/>
      <c r="I64"/>
    </row>
    <row r="65" spans="1:9">
      <c r="A65" s="4" t="s">
        <v>16</v>
      </c>
      <c r="B65" s="41">
        <v>24530792.269999992</v>
      </c>
      <c r="C65" s="41">
        <v>4406279.7699999986</v>
      </c>
      <c r="D65" s="41">
        <v>12440511</v>
      </c>
      <c r="E65" s="41">
        <v>41377583.039999992</v>
      </c>
      <c r="F65" s="41"/>
      <c r="H65"/>
      <c r="I65"/>
    </row>
    <row r="66" spans="1:9">
      <c r="A66" s="4" t="s">
        <v>44</v>
      </c>
      <c r="B66" s="41">
        <v>396898473.87999994</v>
      </c>
      <c r="C66" s="41">
        <v>481176241.90000004</v>
      </c>
      <c r="D66" s="41">
        <v>573367826.44000006</v>
      </c>
      <c r="E66" s="41">
        <v>1451442542.22</v>
      </c>
      <c r="F66" s="41">
        <v>653875008.18000007</v>
      </c>
      <c r="H66"/>
      <c r="I66"/>
    </row>
    <row r="70" spans="1:9">
      <c r="A70" s="4" t="s">
        <v>13</v>
      </c>
      <c r="B70" s="41">
        <f>+B59+B63+B62+B61+B60</f>
        <v>43357326.140000008</v>
      </c>
      <c r="C70" s="41">
        <f t="shared" ref="C70:F70" si="1">+C59+C63+C62+C61+C60</f>
        <v>197981078.47000006</v>
      </c>
      <c r="D70" s="41">
        <f t="shared" si="1"/>
        <v>317523226.89999998</v>
      </c>
      <c r="E70" s="41">
        <f t="shared" si="1"/>
        <v>558861631.51000011</v>
      </c>
      <c r="F70" s="41">
        <f t="shared" si="1"/>
        <v>200983090.07999998</v>
      </c>
    </row>
    <row r="71" spans="1:9">
      <c r="A71" s="4" t="s">
        <v>53</v>
      </c>
      <c r="B71" s="41">
        <f>+B57+B64</f>
        <v>46840599.589999996</v>
      </c>
      <c r="C71" s="41">
        <f>+C57+C64</f>
        <v>90283071.629999995</v>
      </c>
      <c r="D71" s="41">
        <f>+D57+D64</f>
        <v>235661381.14000005</v>
      </c>
      <c r="E71" s="41">
        <f>+E57+E64</f>
        <v>372785052.36000001</v>
      </c>
      <c r="F71" s="41">
        <f>+F57+F64</f>
        <v>349066641.06</v>
      </c>
    </row>
    <row r="72" spans="1:9">
      <c r="A72" s="4" t="s">
        <v>15</v>
      </c>
      <c r="B72" s="41">
        <f>+B58</f>
        <v>0</v>
      </c>
      <c r="C72" s="41">
        <f>+C58</f>
        <v>0</v>
      </c>
      <c r="D72" s="41">
        <f>+D58</f>
        <v>3611610</v>
      </c>
      <c r="E72" s="41">
        <f>+E58</f>
        <v>3611610</v>
      </c>
      <c r="F72" s="41">
        <f>+F58</f>
        <v>103825277.03999999</v>
      </c>
    </row>
    <row r="73" spans="1:9">
      <c r="A73" s="4" t="s">
        <v>51</v>
      </c>
      <c r="B73" s="41">
        <f>+B56+B55</f>
        <v>282169755.88</v>
      </c>
      <c r="C73" s="41">
        <f t="shared" ref="C73:F73" si="2">+C56+C55</f>
        <v>188505812.02999997</v>
      </c>
      <c r="D73" s="41">
        <f t="shared" si="2"/>
        <v>4131097.4</v>
      </c>
      <c r="E73" s="41">
        <f t="shared" si="2"/>
        <v>474806665.31</v>
      </c>
      <c r="F73" s="41">
        <f t="shared" si="2"/>
        <v>0</v>
      </c>
    </row>
    <row r="74" spans="1:9">
      <c r="A74" s="4" t="s">
        <v>54</v>
      </c>
      <c r="B74" s="41">
        <f>+B65</f>
        <v>24530792.269999992</v>
      </c>
      <c r="C74" s="41">
        <f t="shared" ref="C74:F74" si="3">+C65</f>
        <v>4406279.7699999986</v>
      </c>
      <c r="D74" s="41">
        <f t="shared" si="3"/>
        <v>12440511</v>
      </c>
      <c r="E74" s="41">
        <f t="shared" si="3"/>
        <v>41377583.039999992</v>
      </c>
      <c r="F74" s="41">
        <f t="shared" si="3"/>
        <v>0</v>
      </c>
    </row>
    <row r="75" spans="1:9">
      <c r="B75" s="41">
        <f>+SUM(B70:B74)-B66</f>
        <v>0</v>
      </c>
      <c r="C75" s="41">
        <f>+SUM(C70:C74)-C66</f>
        <v>0</v>
      </c>
      <c r="D75" s="41">
        <f>+SUM(D70:D74)-D66</f>
        <v>0</v>
      </c>
      <c r="E75" s="41">
        <f>+SUM(E70:E74)-E66</f>
        <v>0</v>
      </c>
      <c r="F75" s="41">
        <f>+SUM(F70:F74)-F66</f>
        <v>0</v>
      </c>
    </row>
    <row r="77" spans="1:9">
      <c r="B77" s="41">
        <f>B70+B71+B74+B72</f>
        <v>114728718</v>
      </c>
      <c r="C77" s="41">
        <f t="shared" ref="C77:F77" si="4">C70+C71+C74+C72</f>
        <v>292670429.87</v>
      </c>
      <c r="D77" s="41">
        <f t="shared" si="4"/>
        <v>569236729.03999996</v>
      </c>
      <c r="E77" s="41">
        <f t="shared" si="4"/>
        <v>976635876.91000009</v>
      </c>
      <c r="F77" s="41">
        <f t="shared" si="4"/>
        <v>653875008.17999995</v>
      </c>
    </row>
    <row r="79" spans="1:9">
      <c r="B79" s="41">
        <f>+B67-B66</f>
        <v>-396898473.87999994</v>
      </c>
      <c r="C79" s="41">
        <f t="shared" ref="C79:F79" si="5">+C67-C66</f>
        <v>-481176241.90000004</v>
      </c>
      <c r="D79" s="41">
        <f t="shared" si="5"/>
        <v>-573367826.44000006</v>
      </c>
      <c r="E79" s="41">
        <f t="shared" si="5"/>
        <v>-1451442542.22</v>
      </c>
      <c r="F79" s="41">
        <f t="shared" si="5"/>
        <v>-653875008.18000007</v>
      </c>
    </row>
  </sheetData>
  <pageMargins left="0.7" right="0.7" top="0.75" bottom="0.75" header="0.3" footer="0.3"/>
  <pageSetup orientation="portrait" r:id="rId7"/>
  <customProperties>
    <customPr name="EpmWorksheetKeyString_GUID" r:id="rId8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7AA-EAE3-48D6-9561-4F1EA427E631}">
  <dimension ref="A3:L25"/>
  <sheetViews>
    <sheetView zoomScale="74" zoomScaleNormal="85" workbookViewId="0">
      <selection activeCell="C13" sqref="C13"/>
    </sheetView>
  </sheetViews>
  <sheetFormatPr defaultRowHeight="15"/>
  <cols>
    <col min="1" max="1" width="33.42578125" bestFit="1" customWidth="1"/>
    <col min="2" max="2" width="17" bestFit="1" customWidth="1"/>
    <col min="3" max="3" width="13.42578125" bestFit="1" customWidth="1"/>
    <col min="4" max="4" width="14.7109375" bestFit="1" customWidth="1"/>
    <col min="5" max="5" width="17.42578125" bestFit="1" customWidth="1"/>
    <col min="6" max="6" width="14.7109375" bestFit="1" customWidth="1"/>
    <col min="7" max="7" width="9.7109375" bestFit="1" customWidth="1"/>
    <col min="8" max="9" width="12.85546875" bestFit="1" customWidth="1"/>
    <col min="10" max="12" width="14.140625" bestFit="1" customWidth="1"/>
    <col min="13" max="21" width="9.7109375" bestFit="1" customWidth="1"/>
    <col min="22" max="27" width="8.7109375" bestFit="1" customWidth="1"/>
    <col min="28" max="28" width="5.7109375" bestFit="1" customWidth="1"/>
    <col min="29" max="29" width="7.7109375" bestFit="1" customWidth="1"/>
    <col min="30" max="30" width="6.7109375" bestFit="1" customWidth="1"/>
    <col min="31" max="33" width="7.7109375" bestFit="1" customWidth="1"/>
    <col min="34" max="34" width="6.7109375" bestFit="1" customWidth="1"/>
    <col min="35" max="35" width="2" bestFit="1" customWidth="1"/>
    <col min="36" max="36" width="12.140625" bestFit="1" customWidth="1"/>
    <col min="37" max="40" width="5" bestFit="1" customWidth="1"/>
    <col min="41" max="45" width="7" bestFit="1" customWidth="1"/>
    <col min="46" max="49" width="8" bestFit="1" customWidth="1"/>
    <col min="50" max="50" width="7" bestFit="1" customWidth="1"/>
    <col min="51" max="57" width="8" bestFit="1" customWidth="1"/>
    <col min="58" max="58" width="7" bestFit="1" customWidth="1"/>
    <col min="59" max="65" width="8" bestFit="1" customWidth="1"/>
    <col min="66" max="66" width="9" bestFit="1" customWidth="1"/>
    <col min="67" max="70" width="8" bestFit="1" customWidth="1"/>
    <col min="71" max="83" width="9" bestFit="1" customWidth="1"/>
    <col min="84" max="84" width="8" bestFit="1" customWidth="1"/>
    <col min="85" max="90" width="9" bestFit="1" customWidth="1"/>
    <col min="91" max="91" width="8" bestFit="1" customWidth="1"/>
    <col min="92" max="97" width="9" bestFit="1" customWidth="1"/>
    <col min="98" max="98" width="8" bestFit="1" customWidth="1"/>
    <col min="99" max="108" width="9" bestFit="1" customWidth="1"/>
    <col min="109" max="109" width="6" bestFit="1" customWidth="1"/>
    <col min="110" max="117" width="9" bestFit="1" customWidth="1"/>
    <col min="118" max="118" width="8" bestFit="1" customWidth="1"/>
    <col min="119" max="124" width="9" bestFit="1" customWidth="1"/>
    <col min="125" max="170" width="10" bestFit="1" customWidth="1"/>
    <col min="171" max="171" width="9" bestFit="1" customWidth="1"/>
    <col min="172" max="191" width="10" bestFit="1" customWidth="1"/>
    <col min="192" max="192" width="9" bestFit="1" customWidth="1"/>
    <col min="193" max="193" width="7" bestFit="1" customWidth="1"/>
    <col min="194" max="197" width="10" bestFit="1" customWidth="1"/>
    <col min="198" max="200" width="9" bestFit="1" customWidth="1"/>
    <col min="201" max="203" width="10" bestFit="1" customWidth="1"/>
    <col min="204" max="204" width="7" bestFit="1" customWidth="1"/>
    <col min="205" max="219" width="10" bestFit="1" customWidth="1"/>
    <col min="220" max="224" width="11" bestFit="1" customWidth="1"/>
    <col min="225" max="225" width="10" bestFit="1" customWidth="1"/>
    <col min="226" max="237" width="11" bestFit="1" customWidth="1"/>
    <col min="238" max="238" width="10" bestFit="1" customWidth="1"/>
    <col min="239" max="243" width="11" bestFit="1" customWidth="1"/>
    <col min="244" max="244" width="10" bestFit="1" customWidth="1"/>
    <col min="245" max="251" width="11" bestFit="1" customWidth="1"/>
    <col min="252" max="252" width="10" bestFit="1" customWidth="1"/>
    <col min="253" max="253" width="11" bestFit="1" customWidth="1"/>
    <col min="254" max="254" width="10" bestFit="1" customWidth="1"/>
    <col min="255" max="258" width="11" bestFit="1" customWidth="1"/>
    <col min="259" max="259" width="10" bestFit="1" customWidth="1"/>
    <col min="260" max="264" width="11" bestFit="1" customWidth="1"/>
    <col min="265" max="265" width="8" bestFit="1" customWidth="1"/>
    <col min="266" max="271" width="11" bestFit="1" customWidth="1"/>
    <col min="272" max="272" width="10" bestFit="1" customWidth="1"/>
    <col min="273" max="275" width="12" bestFit="1" customWidth="1"/>
    <col min="276" max="276" width="11" bestFit="1" customWidth="1"/>
    <col min="277" max="285" width="12" bestFit="1" customWidth="1"/>
    <col min="286" max="286" width="7.28515625" bestFit="1" customWidth="1"/>
    <col min="287" max="287" width="12" bestFit="1" customWidth="1"/>
  </cols>
  <sheetData>
    <row r="3" spans="1:6">
      <c r="A3" s="64" t="s">
        <v>29</v>
      </c>
      <c r="B3" t="s">
        <v>52</v>
      </c>
    </row>
    <row r="4" spans="1:6">
      <c r="A4" s="64" t="s">
        <v>32</v>
      </c>
      <c r="B4" t="s">
        <v>55</v>
      </c>
    </row>
    <row r="5" spans="1:6">
      <c r="A5" s="64" t="s">
        <v>33</v>
      </c>
      <c r="B5" t="s">
        <v>30</v>
      </c>
    </row>
    <row r="7" spans="1:6">
      <c r="A7" s="64" t="s">
        <v>34</v>
      </c>
      <c r="B7" t="s">
        <v>35</v>
      </c>
      <c r="C7" t="s">
        <v>36</v>
      </c>
      <c r="D7" t="s">
        <v>37</v>
      </c>
      <c r="E7" t="s">
        <v>38</v>
      </c>
      <c r="F7" t="s">
        <v>39</v>
      </c>
    </row>
    <row r="8" spans="1:6">
      <c r="A8" s="4" t="s">
        <v>21</v>
      </c>
      <c r="B8" s="41">
        <v>1845263.1999999997</v>
      </c>
      <c r="C8" s="41">
        <v>-234691.47000000006</v>
      </c>
      <c r="D8" s="41">
        <v>7914486</v>
      </c>
      <c r="E8" s="41">
        <v>9525057.7300000004</v>
      </c>
      <c r="F8" s="41">
        <v>16305632.039999999</v>
      </c>
    </row>
    <row r="9" spans="1:6">
      <c r="A9" s="47" t="s">
        <v>56</v>
      </c>
      <c r="B9" s="41">
        <v>1018042.6799999999</v>
      </c>
      <c r="C9" s="41">
        <v>-54968.110000000052</v>
      </c>
      <c r="D9" s="41">
        <v>1689859</v>
      </c>
      <c r="E9" s="41">
        <v>2652933.5699999998</v>
      </c>
      <c r="F9" s="41">
        <v>1574086</v>
      </c>
    </row>
    <row r="10" spans="1:6">
      <c r="A10" s="47" t="s">
        <v>57</v>
      </c>
      <c r="B10" s="41">
        <v>45786.899999999994</v>
      </c>
      <c r="C10" s="41"/>
      <c r="D10" s="41"/>
      <c r="E10" s="41">
        <v>45786.899999999994</v>
      </c>
      <c r="F10" s="41"/>
    </row>
    <row r="11" spans="1:6">
      <c r="A11" s="47" t="s">
        <v>58</v>
      </c>
      <c r="B11" s="41">
        <v>380272.03</v>
      </c>
      <c r="C11" s="41">
        <v>-213699.17</v>
      </c>
      <c r="D11" s="41"/>
      <c r="E11" s="41">
        <v>166572.86000000002</v>
      </c>
      <c r="F11" s="41"/>
    </row>
    <row r="12" spans="1:6">
      <c r="A12" s="47" t="s">
        <v>59</v>
      </c>
      <c r="B12" s="41"/>
      <c r="C12" s="41"/>
      <c r="D12" s="41">
        <v>6224627</v>
      </c>
      <c r="E12" s="41">
        <v>6224627</v>
      </c>
      <c r="F12" s="41">
        <v>11931546</v>
      </c>
    </row>
    <row r="13" spans="1:6">
      <c r="A13" s="47" t="s">
        <v>60</v>
      </c>
      <c r="B13" s="41">
        <v>322973.36</v>
      </c>
      <c r="C13" s="41">
        <v>32925.800000000039</v>
      </c>
      <c r="D13" s="41"/>
      <c r="E13" s="41">
        <v>355899.16000000003</v>
      </c>
      <c r="F13" s="41"/>
    </row>
    <row r="14" spans="1:6">
      <c r="A14" s="47" t="s">
        <v>61</v>
      </c>
      <c r="B14" s="41">
        <v>306.69000000000005</v>
      </c>
      <c r="C14" s="41"/>
      <c r="D14" s="41"/>
      <c r="E14" s="41">
        <v>306.69000000000005</v>
      </c>
      <c r="F14" s="41"/>
    </row>
    <row r="15" spans="1:6">
      <c r="A15" s="47" t="s">
        <v>62</v>
      </c>
      <c r="B15" s="41">
        <v>-2279.4199999999996</v>
      </c>
      <c r="C15" s="41">
        <v>28376.05</v>
      </c>
      <c r="D15" s="41"/>
      <c r="E15" s="41">
        <v>26096.63</v>
      </c>
      <c r="F15" s="41"/>
    </row>
    <row r="16" spans="1:6">
      <c r="A16" s="47" t="s">
        <v>63</v>
      </c>
      <c r="B16" s="41">
        <v>7957.99</v>
      </c>
      <c r="C16" s="41"/>
      <c r="D16" s="41"/>
      <c r="E16" s="41">
        <v>7957.99</v>
      </c>
      <c r="F16" s="41"/>
    </row>
    <row r="17" spans="1:12">
      <c r="A17" s="47" t="s">
        <v>64</v>
      </c>
      <c r="B17" s="41">
        <v>10966.76</v>
      </c>
      <c r="C17" s="41">
        <v>33910.170000000006</v>
      </c>
      <c r="D17" s="41"/>
      <c r="E17" s="41">
        <v>44876.930000000008</v>
      </c>
      <c r="F17" s="41">
        <v>2800000</v>
      </c>
    </row>
    <row r="18" spans="1:12">
      <c r="A18" s="47" t="s">
        <v>65</v>
      </c>
      <c r="B18" s="41">
        <v>0</v>
      </c>
      <c r="C18" s="41"/>
      <c r="D18" s="41"/>
      <c r="E18" s="41">
        <v>0</v>
      </c>
      <c r="F18" s="41"/>
    </row>
    <row r="19" spans="1:12">
      <c r="A19" s="47" t="s">
        <v>66</v>
      </c>
      <c r="B19" s="41">
        <v>61236.209999999985</v>
      </c>
      <c r="C19" s="41">
        <v>-61236.210000000014</v>
      </c>
      <c r="D19" s="41"/>
      <c r="E19" s="41">
        <v>0</v>
      </c>
      <c r="F19" s="41">
        <v>0.04</v>
      </c>
    </row>
    <row r="20" spans="1:12">
      <c r="A20" s="4" t="s">
        <v>18</v>
      </c>
      <c r="B20" s="41">
        <v>46809929.019999996</v>
      </c>
      <c r="C20" s="41">
        <v>63126781.360000007</v>
      </c>
      <c r="D20" s="41">
        <v>142941767.33000001</v>
      </c>
      <c r="E20" s="41">
        <v>252878477.70999998</v>
      </c>
      <c r="F20" s="41">
        <v>312906044.74000001</v>
      </c>
    </row>
    <row r="21" spans="1:12">
      <c r="A21" s="4" t="s">
        <v>20</v>
      </c>
      <c r="B21" s="41">
        <v>30670.570000000003</v>
      </c>
      <c r="C21" s="41">
        <v>27156290.269999996</v>
      </c>
      <c r="D21" s="41">
        <v>92719613.810000017</v>
      </c>
      <c r="E21" s="41">
        <v>119906574.65000002</v>
      </c>
      <c r="F21" s="41">
        <v>36160596.32</v>
      </c>
    </row>
    <row r="22" spans="1:12">
      <c r="A22" s="4" t="s">
        <v>19</v>
      </c>
      <c r="B22" s="41"/>
      <c r="C22" s="41"/>
      <c r="D22" s="41"/>
      <c r="E22" s="41">
        <v>0</v>
      </c>
      <c r="F22" s="41">
        <v>6000000</v>
      </c>
    </row>
    <row r="23" spans="1:12">
      <c r="A23" s="4" t="s">
        <v>44</v>
      </c>
      <c r="B23" s="41">
        <v>48685862.789999999</v>
      </c>
      <c r="C23" s="41">
        <v>90048380.159999996</v>
      </c>
      <c r="D23" s="41">
        <v>243575867.14000005</v>
      </c>
      <c r="E23" s="41">
        <v>382310110.08999997</v>
      </c>
      <c r="F23" s="41">
        <v>371372273.10000002</v>
      </c>
      <c r="H23" s="41"/>
      <c r="I23" s="41"/>
      <c r="J23" s="41"/>
      <c r="K23" s="41"/>
      <c r="L23" s="41"/>
    </row>
    <row r="25" spans="1:12">
      <c r="B25" s="41">
        <f>B22+B21+B20+B12</f>
        <v>46840599.589999996</v>
      </c>
      <c r="C25" s="41">
        <f t="shared" ref="C25:F25" si="0">C22+C21+C20+C12</f>
        <v>90283071.629999995</v>
      </c>
      <c r="D25" s="41">
        <f t="shared" si="0"/>
        <v>241886008.14000005</v>
      </c>
      <c r="E25" s="41">
        <f t="shared" si="0"/>
        <v>379009679.36000001</v>
      </c>
      <c r="F25" s="41">
        <f t="shared" si="0"/>
        <v>366998187.06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B604-0572-402D-9A17-F6A0A0A75E1A}">
  <dimension ref="A1:E27"/>
  <sheetViews>
    <sheetView topLeftCell="A2" workbookViewId="0">
      <selection activeCell="J38" sqref="J37:J38"/>
    </sheetView>
  </sheetViews>
  <sheetFormatPr defaultRowHeight="15"/>
  <cols>
    <col min="1" max="1" width="33.42578125" bestFit="1" customWidth="1"/>
    <col min="2" max="2" width="16.5703125" bestFit="1" customWidth="1"/>
    <col min="3" max="5" width="12.140625" bestFit="1" customWidth="1"/>
  </cols>
  <sheetData>
    <row r="1" spans="1:5">
      <c r="A1" s="64" t="s">
        <v>29</v>
      </c>
      <c r="B1" t="s">
        <v>52</v>
      </c>
    </row>
    <row r="3" spans="1:5">
      <c r="A3" s="64" t="s">
        <v>34</v>
      </c>
      <c r="B3" t="s">
        <v>35</v>
      </c>
      <c r="C3" t="s">
        <v>36</v>
      </c>
      <c r="D3" t="s">
        <v>37</v>
      </c>
      <c r="E3" t="s">
        <v>39</v>
      </c>
    </row>
    <row r="4" spans="1:5">
      <c r="A4" s="4" t="s">
        <v>67</v>
      </c>
      <c r="B4" s="13">
        <v>67888118.409999996</v>
      </c>
      <c r="C4" s="13">
        <v>202387358.24000004</v>
      </c>
      <c r="D4" s="13">
        <v>329963737.89999998</v>
      </c>
      <c r="E4" s="13">
        <v>200983090.07999998</v>
      </c>
    </row>
    <row r="5" spans="1:5">
      <c r="A5" s="47" t="s">
        <v>68</v>
      </c>
      <c r="B5" s="13">
        <v>18653649.980000004</v>
      </c>
      <c r="C5" s="13">
        <v>38923412.560000025</v>
      </c>
      <c r="D5" s="13">
        <v>77940829.370000005</v>
      </c>
      <c r="E5" s="13">
        <v>53226774.230000004</v>
      </c>
    </row>
    <row r="6" spans="1:5">
      <c r="A6" s="47" t="s">
        <v>69</v>
      </c>
      <c r="B6" s="13">
        <v>17563240.770000003</v>
      </c>
      <c r="C6" s="13">
        <v>80192074.970000014</v>
      </c>
      <c r="D6" s="13">
        <v>161065896.17999998</v>
      </c>
      <c r="E6" s="13">
        <v>70384705.760000005</v>
      </c>
    </row>
    <row r="7" spans="1:5">
      <c r="A7" s="47" t="s">
        <v>70</v>
      </c>
      <c r="B7" s="13">
        <v>24530792.269999992</v>
      </c>
      <c r="C7" s="13">
        <v>4406279.7699999986</v>
      </c>
      <c r="D7" s="13">
        <v>12440511</v>
      </c>
      <c r="E7" s="13"/>
    </row>
    <row r="8" spans="1:5">
      <c r="A8" s="47" t="s">
        <v>71</v>
      </c>
      <c r="B8" s="13">
        <v>7140435.3900000015</v>
      </c>
      <c r="C8" s="13">
        <v>64162062.960000023</v>
      </c>
      <c r="D8" s="13">
        <v>53918305.730000004</v>
      </c>
      <c r="E8" s="13">
        <v>33470470.379999999</v>
      </c>
    </row>
    <row r="9" spans="1:5">
      <c r="A9" s="47" t="s">
        <v>72</v>
      </c>
      <c r="B9" s="13"/>
      <c r="C9" s="13">
        <v>14703527.980000002</v>
      </c>
      <c r="D9" s="13">
        <v>24598195.620000001</v>
      </c>
      <c r="E9" s="13">
        <v>43901139.709999993</v>
      </c>
    </row>
    <row r="10" spans="1:5">
      <c r="A10" s="4" t="s">
        <v>55</v>
      </c>
      <c r="B10" s="13">
        <v>329010355.47000003</v>
      </c>
      <c r="C10" s="13">
        <v>278788883.66000003</v>
      </c>
      <c r="D10" s="13">
        <v>243404088.54000002</v>
      </c>
      <c r="E10" s="13">
        <v>452891918.10000002</v>
      </c>
    </row>
    <row r="11" spans="1:5">
      <c r="A11" s="47" t="s">
        <v>73</v>
      </c>
      <c r="B11" s="13">
        <v>81355279.799999997</v>
      </c>
      <c r="C11" s="13">
        <v>6906723.9500000011</v>
      </c>
      <c r="D11" s="13"/>
      <c r="E11" s="13"/>
    </row>
    <row r="12" spans="1:5">
      <c r="A12" s="47" t="s">
        <v>74</v>
      </c>
      <c r="B12" s="13"/>
      <c r="C12" s="13">
        <v>16738916.659999998</v>
      </c>
      <c r="D12" s="13">
        <v>93331223.810000017</v>
      </c>
      <c r="E12" s="13">
        <v>78755873.359999999</v>
      </c>
    </row>
    <row r="13" spans="1:5">
      <c r="A13" s="47" t="s">
        <v>75</v>
      </c>
      <c r="B13" s="13">
        <v>247655075.67000002</v>
      </c>
      <c r="C13" s="13">
        <v>255143243.05000001</v>
      </c>
      <c r="D13" s="13">
        <v>150072864.72999999</v>
      </c>
      <c r="E13" s="13">
        <v>374136044.74000001</v>
      </c>
    </row>
    <row r="14" spans="1:5">
      <c r="A14" s="4" t="s">
        <v>44</v>
      </c>
      <c r="B14" s="13">
        <v>396898473.88</v>
      </c>
      <c r="C14" s="13">
        <v>481176241.90000004</v>
      </c>
      <c r="D14" s="13">
        <v>573367826.43999994</v>
      </c>
      <c r="E14" s="13">
        <v>653875008.18000007</v>
      </c>
    </row>
    <row r="18" spans="2:5">
      <c r="B18" s="3">
        <v>329010355.47000003</v>
      </c>
      <c r="C18" s="3">
        <v>278781712.04999924</v>
      </c>
      <c r="D18" s="3">
        <v>243104088.54000005</v>
      </c>
      <c r="E18" s="3">
        <v>452891918.0999999</v>
      </c>
    </row>
    <row r="19" spans="2:5">
      <c r="B19" s="13">
        <f>+B18-B10</f>
        <v>0</v>
      </c>
      <c r="C19" s="56">
        <f t="shared" ref="C19:E19" si="0">+C18-C10</f>
        <v>-7171.6100007891655</v>
      </c>
      <c r="D19" s="56">
        <f t="shared" si="0"/>
        <v>-299999.9999999702</v>
      </c>
      <c r="E19" s="13">
        <f t="shared" si="0"/>
        <v>0</v>
      </c>
    </row>
    <row r="21" spans="2:5">
      <c r="B21" s="3">
        <v>65324600.530000046</v>
      </c>
      <c r="C21" s="3">
        <v>198834958.44999987</v>
      </c>
      <c r="D21" s="3">
        <v>329963737.89999998</v>
      </c>
      <c r="E21" s="3">
        <v>200983090.07999995</v>
      </c>
    </row>
    <row r="22" spans="2:5">
      <c r="B22" s="13">
        <f>+B21-B4</f>
        <v>-2563517.8799999505</v>
      </c>
      <c r="C22" s="13">
        <f t="shared" ref="C22:E22" si="1">+C21-C4</f>
        <v>-3552399.7900001705</v>
      </c>
      <c r="D22" s="13">
        <f t="shared" si="1"/>
        <v>0</v>
      </c>
      <c r="E22" s="13">
        <f t="shared" si="1"/>
        <v>0</v>
      </c>
    </row>
    <row r="25" spans="2:5">
      <c r="B25" s="13">
        <f>+B10+B4</f>
        <v>396898473.88</v>
      </c>
      <c r="C25" s="13">
        <f t="shared" ref="C25:E25" si="2">+C10+C4</f>
        <v>481176241.9000001</v>
      </c>
      <c r="D25" s="13">
        <f t="shared" si="2"/>
        <v>573367826.44000006</v>
      </c>
      <c r="E25" s="13">
        <f t="shared" si="2"/>
        <v>653875008.18000007</v>
      </c>
    </row>
    <row r="26" spans="2:5">
      <c r="B26">
        <v>394334955.99999928</v>
      </c>
      <c r="C26">
        <v>477623842.11000001</v>
      </c>
      <c r="D26">
        <v>573367826.43999994</v>
      </c>
      <c r="E26">
        <v>653875008.17999995</v>
      </c>
    </row>
    <row r="27" spans="2:5">
      <c r="B27" s="13">
        <f>+B26-B25</f>
        <v>-2563517.8800007105</v>
      </c>
      <c r="C27" s="13">
        <f t="shared" ref="C27:E27" si="3">+C26-C25</f>
        <v>-3552399.7900000811</v>
      </c>
      <c r="D27" s="13">
        <f t="shared" si="3"/>
        <v>0</v>
      </c>
      <c r="E27" s="13">
        <f t="shared" si="3"/>
        <v>0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9677-BFA0-485B-A022-EDF6CEBA86A3}">
  <dimension ref="A1:F157"/>
  <sheetViews>
    <sheetView workbookViewId="0">
      <selection activeCell="A5" sqref="A5"/>
    </sheetView>
  </sheetViews>
  <sheetFormatPr defaultRowHeight="15"/>
  <cols>
    <col min="1" max="1" width="12.85546875" bestFit="1" customWidth="1"/>
    <col min="2" max="6" width="12.140625" bestFit="1" customWidth="1"/>
  </cols>
  <sheetData>
    <row r="1" spans="1:6">
      <c r="A1" s="64" t="s">
        <v>29</v>
      </c>
      <c r="B1" t="s">
        <v>9</v>
      </c>
    </row>
    <row r="3" spans="1:6">
      <c r="A3" s="64" t="s">
        <v>34</v>
      </c>
      <c r="B3" t="s">
        <v>35</v>
      </c>
      <c r="C3" t="s">
        <v>36</v>
      </c>
      <c r="D3" t="s">
        <v>37</v>
      </c>
      <c r="E3" t="s">
        <v>39</v>
      </c>
    </row>
    <row r="4" spans="1:6">
      <c r="A4" s="4" t="s">
        <v>67</v>
      </c>
      <c r="B4" s="13">
        <v>96240947.730000049</v>
      </c>
      <c r="C4" s="13">
        <v>147022799.01999989</v>
      </c>
      <c r="D4" s="13">
        <v>98590903.280000001</v>
      </c>
      <c r="E4" s="13">
        <v>126104100.71999997</v>
      </c>
      <c r="F4" s="13"/>
    </row>
    <row r="5" spans="1:6">
      <c r="A5" s="4" t="s">
        <v>55</v>
      </c>
      <c r="B5" s="13">
        <v>10116732.43</v>
      </c>
      <c r="C5" s="13">
        <v>7448418.2299999986</v>
      </c>
      <c r="D5" s="13">
        <v>27984818.100000001</v>
      </c>
      <c r="E5" s="13">
        <v>32218973.039999999</v>
      </c>
      <c r="F5" s="13"/>
    </row>
    <row r="6" spans="1:6">
      <c r="A6" s="4" t="s">
        <v>44</v>
      </c>
      <c r="B6" s="13">
        <v>106357680.16000006</v>
      </c>
      <c r="C6" s="13">
        <v>154471217.24999988</v>
      </c>
      <c r="D6" s="13">
        <v>126575721.38</v>
      </c>
      <c r="E6" s="13">
        <v>158323073.75999996</v>
      </c>
      <c r="F6" s="13"/>
    </row>
    <row r="7" spans="1:6">
      <c r="F7" s="13"/>
    </row>
    <row r="8" spans="1:6">
      <c r="F8" s="13"/>
    </row>
    <row r="9" spans="1:6">
      <c r="F9" s="13"/>
    </row>
    <row r="10" spans="1:6">
      <c r="F10" s="13"/>
    </row>
    <row r="11" spans="1:6">
      <c r="F11" s="13"/>
    </row>
    <row r="12" spans="1:6">
      <c r="F12" s="13"/>
    </row>
    <row r="13" spans="1:6">
      <c r="F13" s="13"/>
    </row>
    <row r="14" spans="1:6">
      <c r="F14" s="13"/>
    </row>
    <row r="15" spans="1:6">
      <c r="F15" s="13"/>
    </row>
    <row r="16" spans="1:6">
      <c r="F16" s="13"/>
    </row>
    <row r="17" spans="6:6">
      <c r="F17" s="13"/>
    </row>
    <row r="18" spans="6:6">
      <c r="F18" s="13"/>
    </row>
    <row r="19" spans="6:6">
      <c r="F19" s="13"/>
    </row>
    <row r="20" spans="6:6">
      <c r="F20" s="13"/>
    </row>
    <row r="21" spans="6:6">
      <c r="F21" s="13"/>
    </row>
    <row r="22" spans="6:6">
      <c r="F22" s="13"/>
    </row>
    <row r="23" spans="6:6">
      <c r="F23" s="13"/>
    </row>
    <row r="24" spans="6:6">
      <c r="F24" s="13"/>
    </row>
    <row r="25" spans="6:6">
      <c r="F25" s="13"/>
    </row>
    <row r="26" spans="6:6">
      <c r="F26" s="13"/>
    </row>
    <row r="27" spans="6:6">
      <c r="F27" s="13"/>
    </row>
    <row r="28" spans="6:6">
      <c r="F28" s="13"/>
    </row>
    <row r="29" spans="6:6">
      <c r="F29" s="13"/>
    </row>
    <row r="30" spans="6:6">
      <c r="F30" s="13"/>
    </row>
    <row r="31" spans="6:6">
      <c r="F31" s="13"/>
    </row>
    <row r="32" spans="6:6">
      <c r="F32" s="13"/>
    </row>
    <row r="33" spans="6:6">
      <c r="F33" s="13"/>
    </row>
    <row r="34" spans="6:6">
      <c r="F34" s="13"/>
    </row>
    <row r="35" spans="6:6">
      <c r="F35" s="13"/>
    </row>
    <row r="36" spans="6:6">
      <c r="F36" s="13"/>
    </row>
    <row r="37" spans="6:6">
      <c r="F37" s="13"/>
    </row>
    <row r="38" spans="6:6">
      <c r="F38" s="13"/>
    </row>
    <row r="39" spans="6:6">
      <c r="F39" s="13"/>
    </row>
    <row r="40" spans="6:6">
      <c r="F40" s="13"/>
    </row>
    <row r="41" spans="6:6">
      <c r="F41" s="13"/>
    </row>
    <row r="42" spans="6:6">
      <c r="F42" s="13"/>
    </row>
    <row r="43" spans="6:6">
      <c r="F43" s="13"/>
    </row>
    <row r="44" spans="6:6">
      <c r="F44" s="13"/>
    </row>
    <row r="45" spans="6:6">
      <c r="F45" s="13"/>
    </row>
    <row r="46" spans="6:6">
      <c r="F46" s="13"/>
    </row>
    <row r="47" spans="6:6">
      <c r="F47" s="13"/>
    </row>
    <row r="48" spans="6:6">
      <c r="F48" s="13"/>
    </row>
    <row r="49" spans="6:6">
      <c r="F49" s="13"/>
    </row>
    <row r="50" spans="6:6">
      <c r="F50" s="13"/>
    </row>
    <row r="51" spans="6:6">
      <c r="F51" s="13"/>
    </row>
    <row r="52" spans="6:6">
      <c r="F52" s="13"/>
    </row>
    <row r="53" spans="6:6">
      <c r="F53" s="13"/>
    </row>
    <row r="54" spans="6:6">
      <c r="F54" s="13"/>
    </row>
    <row r="55" spans="6:6">
      <c r="F55" s="13"/>
    </row>
    <row r="56" spans="6:6">
      <c r="F56" s="13"/>
    </row>
    <row r="57" spans="6:6">
      <c r="F57" s="13"/>
    </row>
    <row r="58" spans="6:6">
      <c r="F58" s="13"/>
    </row>
    <row r="59" spans="6:6">
      <c r="F59" s="13"/>
    </row>
    <row r="60" spans="6:6">
      <c r="F60" s="13"/>
    </row>
    <row r="61" spans="6:6">
      <c r="F61" s="13"/>
    </row>
    <row r="62" spans="6:6">
      <c r="F62" s="13"/>
    </row>
    <row r="63" spans="6:6">
      <c r="F63" s="13"/>
    </row>
    <row r="64" spans="6:6">
      <c r="F64" s="13"/>
    </row>
    <row r="65" spans="6:6">
      <c r="F65" s="13"/>
    </row>
    <row r="66" spans="6:6">
      <c r="F66" s="13"/>
    </row>
    <row r="67" spans="6:6">
      <c r="F67" s="13"/>
    </row>
    <row r="68" spans="6:6">
      <c r="F68" s="13"/>
    </row>
    <row r="69" spans="6:6">
      <c r="F69" s="13"/>
    </row>
    <row r="70" spans="6:6">
      <c r="F70" s="13"/>
    </row>
    <row r="71" spans="6:6">
      <c r="F71" s="13"/>
    </row>
    <row r="72" spans="6:6">
      <c r="F72" s="13"/>
    </row>
    <row r="73" spans="6:6">
      <c r="F73" s="13"/>
    </row>
    <row r="74" spans="6:6">
      <c r="F74" s="13"/>
    </row>
    <row r="75" spans="6:6">
      <c r="F75" s="13"/>
    </row>
    <row r="76" spans="6:6">
      <c r="F76" s="13"/>
    </row>
    <row r="77" spans="6:6">
      <c r="F77" s="13"/>
    </row>
    <row r="78" spans="6:6">
      <c r="F78" s="13"/>
    </row>
    <row r="79" spans="6:6">
      <c r="F79" s="13"/>
    </row>
    <row r="80" spans="6:6">
      <c r="F80" s="13"/>
    </row>
    <row r="81" spans="6:6">
      <c r="F81" s="13"/>
    </row>
    <row r="82" spans="6:6">
      <c r="F82" s="13"/>
    </row>
    <row r="83" spans="6:6">
      <c r="F83" s="13"/>
    </row>
    <row r="84" spans="6:6">
      <c r="F84" s="13"/>
    </row>
    <row r="85" spans="6:6">
      <c r="F85" s="13"/>
    </row>
    <row r="86" spans="6:6">
      <c r="F86" s="13"/>
    </row>
    <row r="87" spans="6:6">
      <c r="F87" s="13"/>
    </row>
    <row r="88" spans="6:6">
      <c r="F88" s="13"/>
    </row>
    <row r="89" spans="6:6">
      <c r="F89" s="13"/>
    </row>
    <row r="90" spans="6:6">
      <c r="F90" s="13"/>
    </row>
    <row r="91" spans="6:6">
      <c r="F91" s="13"/>
    </row>
    <row r="92" spans="6:6">
      <c r="F92" s="13"/>
    </row>
    <row r="93" spans="6:6">
      <c r="F93" s="13"/>
    </row>
    <row r="94" spans="6:6">
      <c r="F94" s="13"/>
    </row>
    <row r="95" spans="6:6">
      <c r="F95" s="13"/>
    </row>
    <row r="96" spans="6:6">
      <c r="F96" s="13"/>
    </row>
    <row r="97" spans="6:6">
      <c r="F97" s="13"/>
    </row>
    <row r="98" spans="6:6">
      <c r="F98" s="13"/>
    </row>
    <row r="99" spans="6:6">
      <c r="F99" s="13"/>
    </row>
    <row r="100" spans="6:6">
      <c r="F100" s="13"/>
    </row>
    <row r="101" spans="6:6">
      <c r="F101" s="13"/>
    </row>
    <row r="102" spans="6:6">
      <c r="F102" s="13"/>
    </row>
    <row r="103" spans="6:6">
      <c r="F103" s="13"/>
    </row>
    <row r="104" spans="6:6">
      <c r="F104" s="13"/>
    </row>
    <row r="105" spans="6:6">
      <c r="F105" s="13"/>
    </row>
    <row r="106" spans="6:6">
      <c r="F106" s="13"/>
    </row>
    <row r="107" spans="6:6">
      <c r="F107" s="13"/>
    </row>
    <row r="108" spans="6:6">
      <c r="F108" s="13"/>
    </row>
    <row r="109" spans="6:6">
      <c r="F109" s="13"/>
    </row>
    <row r="110" spans="6:6">
      <c r="F110" s="13"/>
    </row>
    <row r="111" spans="6:6">
      <c r="F111" s="13"/>
    </row>
    <row r="112" spans="6:6">
      <c r="F112" s="13"/>
    </row>
    <row r="113" spans="6:6">
      <c r="F113" s="13"/>
    </row>
    <row r="114" spans="6:6">
      <c r="F114" s="13"/>
    </row>
    <row r="115" spans="6:6">
      <c r="F115" s="13"/>
    </row>
    <row r="116" spans="6:6">
      <c r="F116" s="13"/>
    </row>
    <row r="117" spans="6:6">
      <c r="F117" s="13"/>
    </row>
    <row r="118" spans="6:6">
      <c r="F118" s="13"/>
    </row>
    <row r="119" spans="6:6">
      <c r="F119" s="13"/>
    </row>
    <row r="120" spans="6:6">
      <c r="F120" s="13"/>
    </row>
    <row r="121" spans="6:6">
      <c r="F121" s="13"/>
    </row>
    <row r="122" spans="6:6">
      <c r="F122" s="13"/>
    </row>
    <row r="123" spans="6:6">
      <c r="F123" s="13"/>
    </row>
    <row r="124" spans="6:6">
      <c r="F124" s="13"/>
    </row>
    <row r="125" spans="6:6">
      <c r="F125" s="13"/>
    </row>
    <row r="126" spans="6:6">
      <c r="F126" s="13"/>
    </row>
    <row r="127" spans="6:6">
      <c r="F127" s="13"/>
    </row>
    <row r="128" spans="6:6">
      <c r="F128" s="13"/>
    </row>
    <row r="129" spans="6:6">
      <c r="F129" s="13"/>
    </row>
    <row r="130" spans="6:6">
      <c r="F130" s="13"/>
    </row>
    <row r="131" spans="6:6">
      <c r="F131" s="13"/>
    </row>
    <row r="132" spans="6:6">
      <c r="F132" s="13"/>
    </row>
    <row r="133" spans="6:6">
      <c r="F133" s="13"/>
    </row>
    <row r="134" spans="6:6">
      <c r="F134" s="13"/>
    </row>
    <row r="135" spans="6:6">
      <c r="F135" s="13"/>
    </row>
    <row r="136" spans="6:6">
      <c r="F136" s="13"/>
    </row>
    <row r="137" spans="6:6">
      <c r="F137" s="13"/>
    </row>
    <row r="138" spans="6:6">
      <c r="F138" s="13"/>
    </row>
    <row r="139" spans="6:6">
      <c r="F139" s="13"/>
    </row>
    <row r="140" spans="6:6">
      <c r="F140" s="13"/>
    </row>
    <row r="141" spans="6:6">
      <c r="F141" s="13"/>
    </row>
    <row r="142" spans="6:6">
      <c r="F142" s="13"/>
    </row>
    <row r="143" spans="6:6">
      <c r="F143" s="13"/>
    </row>
    <row r="144" spans="6:6">
      <c r="F144" s="13"/>
    </row>
    <row r="145" spans="6:6">
      <c r="F145" s="13"/>
    </row>
    <row r="146" spans="6:6">
      <c r="F146" s="13"/>
    </row>
    <row r="147" spans="6:6">
      <c r="F147" s="13"/>
    </row>
    <row r="148" spans="6:6">
      <c r="F148" s="13"/>
    </row>
    <row r="149" spans="6:6">
      <c r="F149" s="13"/>
    </row>
    <row r="150" spans="6:6">
      <c r="F150" s="13"/>
    </row>
    <row r="151" spans="6:6">
      <c r="F151" s="13"/>
    </row>
    <row r="152" spans="6:6">
      <c r="F152" s="13"/>
    </row>
    <row r="153" spans="6:6">
      <c r="F153" s="13"/>
    </row>
    <row r="154" spans="6:6">
      <c r="F154" s="13"/>
    </row>
    <row r="155" spans="6:6">
      <c r="F155" s="13"/>
    </row>
    <row r="156" spans="6:6">
      <c r="F156" s="13"/>
    </row>
    <row r="157" spans="6:6">
      <c r="F157" s="13"/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CD3F-6F80-4E69-A766-529C02B8E062}">
  <sheetPr filterMode="1"/>
  <dimension ref="A1:V589"/>
  <sheetViews>
    <sheetView zoomScale="80" zoomScaleNormal="70" workbookViewId="0">
      <selection activeCell="K562" sqref="K562"/>
    </sheetView>
  </sheetViews>
  <sheetFormatPr defaultRowHeight="15"/>
  <cols>
    <col min="1" max="1" width="10.140625" customWidth="1"/>
    <col min="2" max="2" width="34" customWidth="1"/>
    <col min="3" max="3" width="34.5703125" customWidth="1"/>
    <col min="4" max="4" width="51.42578125" customWidth="1"/>
    <col min="5" max="5" width="13.140625" customWidth="1"/>
    <col min="6" max="6" width="14.85546875" bestFit="1" customWidth="1"/>
    <col min="7" max="7" width="13.85546875" bestFit="1" customWidth="1"/>
    <col min="8" max="8" width="17.7109375" bestFit="1" customWidth="1"/>
    <col min="9" max="9" width="13.85546875" bestFit="1" customWidth="1"/>
    <col min="10" max="10" width="14.85546875" bestFit="1" customWidth="1"/>
    <col min="11" max="11" width="12.85546875" customWidth="1"/>
    <col min="12" max="12" width="19.140625" bestFit="1" customWidth="1"/>
    <col min="13" max="13" width="14.28515625" bestFit="1" customWidth="1"/>
    <col min="14" max="15" width="19.140625" bestFit="1" customWidth="1"/>
    <col min="16" max="16" width="23.28515625" bestFit="1" customWidth="1"/>
    <col min="17" max="17" width="35.5703125" bestFit="1" customWidth="1"/>
    <col min="19" max="19" width="14.140625" bestFit="1" customWidth="1"/>
  </cols>
  <sheetData>
    <row r="1" spans="1:19">
      <c r="A1" s="1" t="s">
        <v>32</v>
      </c>
      <c r="B1" s="1" t="s">
        <v>33</v>
      </c>
      <c r="C1" s="1" t="s">
        <v>76</v>
      </c>
      <c r="D1" s="1" t="s">
        <v>29</v>
      </c>
      <c r="E1" s="1">
        <v>2022</v>
      </c>
      <c r="F1" s="1">
        <v>2023</v>
      </c>
      <c r="G1" s="1">
        <v>2024</v>
      </c>
      <c r="H1" s="1" t="s">
        <v>77</v>
      </c>
      <c r="I1" s="1">
        <v>2025</v>
      </c>
      <c r="J1" s="1" t="s">
        <v>78</v>
      </c>
      <c r="K1" s="1" t="s">
        <v>79</v>
      </c>
      <c r="L1" s="1" t="s">
        <v>80</v>
      </c>
      <c r="M1" s="1" t="s">
        <v>81</v>
      </c>
      <c r="N1" s="1" t="s">
        <v>82</v>
      </c>
      <c r="O1" s="1" t="s">
        <v>83</v>
      </c>
      <c r="P1" s="1" t="s">
        <v>84</v>
      </c>
      <c r="Q1" s="48" t="s">
        <v>85</v>
      </c>
    </row>
    <row r="2" spans="1:19" hidden="1">
      <c r="A2" s="49" t="s">
        <v>67</v>
      </c>
      <c r="B2" s="49" t="s">
        <v>68</v>
      </c>
      <c r="C2" t="s">
        <v>86</v>
      </c>
      <c r="D2" t="s">
        <v>87</v>
      </c>
      <c r="E2" s="13">
        <v>18653649.980000004</v>
      </c>
      <c r="F2" s="13">
        <v>38923412.560000025</v>
      </c>
      <c r="G2" s="13">
        <v>77940829.370000005</v>
      </c>
      <c r="H2" s="13">
        <f t="shared" ref="H2:H65" si="0">+SUM(E2:G2)</f>
        <v>135517891.91000003</v>
      </c>
      <c r="I2" s="13">
        <v>53226774.230000004</v>
      </c>
      <c r="J2" s="13">
        <f t="shared" ref="J2:J65" si="1">+I2+H2</f>
        <v>188744666.14000005</v>
      </c>
      <c r="K2" s="13">
        <v>0</v>
      </c>
      <c r="L2" s="13">
        <f>+K2+J2</f>
        <v>188744666.14000005</v>
      </c>
      <c r="M2" s="50">
        <v>129563704</v>
      </c>
      <c r="N2" s="50">
        <v>70262090</v>
      </c>
      <c r="O2" s="50">
        <v>0</v>
      </c>
      <c r="P2" s="50">
        <f>+SUM(M2:O2)</f>
        <v>199825794</v>
      </c>
      <c r="Q2" s="51" t="s">
        <v>22</v>
      </c>
      <c r="S2" s="13"/>
    </row>
    <row r="3" spans="1:19" hidden="1">
      <c r="A3" s="52" t="s">
        <v>67</v>
      </c>
      <c r="B3" s="49" t="s">
        <v>69</v>
      </c>
      <c r="C3" t="s">
        <v>88</v>
      </c>
      <c r="D3" t="s">
        <v>87</v>
      </c>
      <c r="E3" s="13">
        <v>14999722.890000002</v>
      </c>
      <c r="F3" s="13">
        <v>65554466.57</v>
      </c>
      <c r="G3" s="13">
        <v>154521142.97999999</v>
      </c>
      <c r="H3" s="13">
        <f t="shared" si="0"/>
        <v>235075332.44</v>
      </c>
      <c r="I3" s="13">
        <v>55759633.760000005</v>
      </c>
      <c r="J3" s="13">
        <f t="shared" si="1"/>
        <v>290834966.19999999</v>
      </c>
      <c r="K3" s="13">
        <v>0</v>
      </c>
      <c r="L3" s="13">
        <f>+K3+J3</f>
        <v>290834966.19999999</v>
      </c>
      <c r="M3" s="50">
        <v>181843665</v>
      </c>
      <c r="N3" s="50">
        <v>175883253</v>
      </c>
      <c r="O3" s="50">
        <v>0</v>
      </c>
      <c r="P3" s="50">
        <f>+SUM(M3:O3)</f>
        <v>357726918</v>
      </c>
      <c r="Q3" s="51" t="s">
        <v>23</v>
      </c>
      <c r="S3" s="13"/>
    </row>
    <row r="4" spans="1:19" hidden="1">
      <c r="A4" s="52" t="s">
        <v>67</v>
      </c>
      <c r="B4" s="49" t="s">
        <v>69</v>
      </c>
      <c r="C4" t="s">
        <v>89</v>
      </c>
      <c r="D4" t="s">
        <v>87</v>
      </c>
      <c r="F4">
        <v>11085208.609999999</v>
      </c>
      <c r="G4">
        <v>6544753.2000000002</v>
      </c>
      <c r="H4" s="13">
        <f t="shared" si="0"/>
        <v>17629961.809999999</v>
      </c>
      <c r="I4">
        <v>14625072</v>
      </c>
      <c r="J4" s="13">
        <f t="shared" si="1"/>
        <v>32255033.809999999</v>
      </c>
      <c r="K4">
        <v>0</v>
      </c>
      <c r="L4" s="13">
        <f>+K4+J4</f>
        <v>32255033.809999999</v>
      </c>
      <c r="M4" s="50">
        <v>0</v>
      </c>
      <c r="N4" s="50">
        <v>0</v>
      </c>
      <c r="O4" s="50">
        <v>0</v>
      </c>
      <c r="P4" s="50">
        <v>0</v>
      </c>
      <c r="Q4" s="51" t="s">
        <v>23</v>
      </c>
      <c r="S4" s="13">
        <f>+P4-L4</f>
        <v>-32255033.809999999</v>
      </c>
    </row>
    <row r="5" spans="1:19" hidden="1">
      <c r="A5" s="52" t="s">
        <v>67</v>
      </c>
      <c r="B5" s="49" t="s">
        <v>70</v>
      </c>
      <c r="C5" t="s">
        <v>90</v>
      </c>
      <c r="D5" t="s">
        <v>9</v>
      </c>
      <c r="E5" s="13"/>
      <c r="F5" s="13">
        <v>519246.5</v>
      </c>
      <c r="G5" s="13">
        <v>1100000</v>
      </c>
      <c r="H5" s="13">
        <f t="shared" si="0"/>
        <v>1619246.5</v>
      </c>
      <c r="I5" s="13"/>
      <c r="J5" s="13">
        <f t="shared" si="1"/>
        <v>1619246.5</v>
      </c>
      <c r="K5" s="13"/>
      <c r="L5" s="13"/>
      <c r="M5" s="13"/>
      <c r="N5" s="50"/>
      <c r="O5" s="50"/>
      <c r="P5" s="50"/>
      <c r="Q5" t="s">
        <v>45</v>
      </c>
    </row>
    <row r="6" spans="1:19" hidden="1">
      <c r="A6" s="52" t="s">
        <v>67</v>
      </c>
      <c r="B6" s="49" t="s">
        <v>70</v>
      </c>
      <c r="C6" t="s">
        <v>91</v>
      </c>
      <c r="D6" t="s">
        <v>9</v>
      </c>
      <c r="E6" s="13">
        <v>492450</v>
      </c>
      <c r="F6" s="13">
        <v>683043.49999999988</v>
      </c>
      <c r="G6" s="13"/>
      <c r="H6" s="13">
        <f t="shared" si="0"/>
        <v>1175493.5</v>
      </c>
      <c r="I6" s="13"/>
      <c r="J6" s="13">
        <f t="shared" si="1"/>
        <v>1175493.5</v>
      </c>
      <c r="K6" s="13"/>
      <c r="L6" s="13"/>
      <c r="M6" s="13"/>
      <c r="N6" s="50"/>
      <c r="O6" s="50"/>
      <c r="P6" s="50"/>
      <c r="Q6" t="s">
        <v>45</v>
      </c>
    </row>
    <row r="7" spans="1:19" hidden="1">
      <c r="A7" s="52" t="s">
        <v>67</v>
      </c>
      <c r="B7" s="49" t="s">
        <v>70</v>
      </c>
      <c r="C7" t="s">
        <v>92</v>
      </c>
      <c r="D7" t="s">
        <v>9</v>
      </c>
      <c r="E7" s="13">
        <v>23192.970000000008</v>
      </c>
      <c r="F7" s="13">
        <v>69639.3</v>
      </c>
      <c r="G7" s="13"/>
      <c r="H7" s="13">
        <f t="shared" si="0"/>
        <v>92832.270000000019</v>
      </c>
      <c r="I7" s="13"/>
      <c r="J7" s="13">
        <f t="shared" si="1"/>
        <v>92832.270000000019</v>
      </c>
      <c r="K7" s="13"/>
      <c r="L7" s="13"/>
      <c r="M7" s="13"/>
      <c r="N7" s="50"/>
      <c r="O7" s="50"/>
      <c r="P7" s="50"/>
      <c r="Q7" t="s">
        <v>42</v>
      </c>
    </row>
    <row r="8" spans="1:19" hidden="1">
      <c r="A8" s="52" t="s">
        <v>67</v>
      </c>
      <c r="B8" s="49" t="s">
        <v>70</v>
      </c>
      <c r="C8" t="s">
        <v>93</v>
      </c>
      <c r="D8" t="s">
        <v>9</v>
      </c>
      <c r="E8" s="13">
        <v>2276540.3100000005</v>
      </c>
      <c r="F8" s="13">
        <v>-152147.03000000003</v>
      </c>
      <c r="G8" s="13"/>
      <c r="H8" s="13">
        <f t="shared" si="0"/>
        <v>2124393.2800000003</v>
      </c>
      <c r="I8" s="13"/>
      <c r="J8" s="13">
        <f t="shared" si="1"/>
        <v>2124393.2800000003</v>
      </c>
      <c r="K8" s="13"/>
      <c r="L8" s="13"/>
      <c r="M8" s="13"/>
      <c r="N8" s="50"/>
      <c r="O8" s="50"/>
      <c r="P8" s="50"/>
      <c r="Q8" t="s">
        <v>42</v>
      </c>
    </row>
    <row r="9" spans="1:19" hidden="1">
      <c r="A9" s="52" t="s">
        <v>67</v>
      </c>
      <c r="B9" s="49" t="s">
        <v>70</v>
      </c>
      <c r="C9" t="s">
        <v>94</v>
      </c>
      <c r="D9" t="s">
        <v>9</v>
      </c>
      <c r="E9" s="13"/>
      <c r="F9" s="13">
        <v>732770.56</v>
      </c>
      <c r="G9" s="13"/>
      <c r="H9" s="13">
        <f t="shared" si="0"/>
        <v>732770.56</v>
      </c>
      <c r="I9" s="13"/>
      <c r="J9" s="13">
        <f t="shared" si="1"/>
        <v>732770.56</v>
      </c>
      <c r="K9" s="13"/>
      <c r="L9" s="13"/>
      <c r="M9" s="13"/>
      <c r="N9" s="50"/>
      <c r="O9" s="50"/>
      <c r="P9" s="50"/>
      <c r="Q9" t="s">
        <v>42</v>
      </c>
    </row>
    <row r="10" spans="1:19" hidden="1">
      <c r="A10" s="52" t="s">
        <v>67</v>
      </c>
      <c r="B10" s="49" t="s">
        <v>70</v>
      </c>
      <c r="C10" t="s">
        <v>95</v>
      </c>
      <c r="D10" t="s">
        <v>9</v>
      </c>
      <c r="E10" s="13"/>
      <c r="F10" s="13"/>
      <c r="G10" s="13">
        <v>300000</v>
      </c>
      <c r="H10" s="13">
        <f t="shared" si="0"/>
        <v>300000</v>
      </c>
      <c r="I10" s="13"/>
      <c r="J10" s="13">
        <f t="shared" si="1"/>
        <v>300000</v>
      </c>
      <c r="K10" s="13"/>
      <c r="L10" s="13"/>
      <c r="M10" s="13"/>
      <c r="N10" s="50"/>
      <c r="O10" s="50"/>
      <c r="P10" s="50"/>
      <c r="Q10" t="s">
        <v>42</v>
      </c>
    </row>
    <row r="11" spans="1:19" hidden="1">
      <c r="A11" s="52" t="s">
        <v>67</v>
      </c>
      <c r="B11" s="49" t="s">
        <v>70</v>
      </c>
      <c r="C11" t="s">
        <v>96</v>
      </c>
      <c r="D11" t="s">
        <v>9</v>
      </c>
      <c r="E11" s="13">
        <v>103517.50999999998</v>
      </c>
      <c r="F11" s="13">
        <v>31835.589999999997</v>
      </c>
      <c r="G11" s="13"/>
      <c r="H11" s="13">
        <f t="shared" si="0"/>
        <v>135353.09999999998</v>
      </c>
      <c r="I11" s="13"/>
      <c r="J11" s="13">
        <f t="shared" si="1"/>
        <v>135353.09999999998</v>
      </c>
      <c r="K11" s="13"/>
      <c r="L11" s="13"/>
      <c r="M11" s="13"/>
      <c r="N11" s="50"/>
      <c r="O11" s="50"/>
      <c r="P11" s="50"/>
      <c r="Q11" t="s">
        <v>42</v>
      </c>
    </row>
    <row r="12" spans="1:19" hidden="1">
      <c r="A12" s="52" t="s">
        <v>67</v>
      </c>
      <c r="B12" s="49" t="s">
        <v>70</v>
      </c>
      <c r="C12" t="s">
        <v>97</v>
      </c>
      <c r="D12" t="s">
        <v>9</v>
      </c>
      <c r="E12" s="13">
        <v>187341.98999999996</v>
      </c>
      <c r="F12" s="13">
        <v>71422.61</v>
      </c>
      <c r="G12" s="13"/>
      <c r="H12" s="13">
        <f t="shared" si="0"/>
        <v>258764.59999999998</v>
      </c>
      <c r="I12" s="13"/>
      <c r="J12" s="13">
        <f t="shared" si="1"/>
        <v>258764.59999999998</v>
      </c>
      <c r="K12" s="13"/>
      <c r="L12" s="13"/>
      <c r="M12" s="13"/>
      <c r="N12" s="50"/>
      <c r="O12" s="50"/>
      <c r="P12" s="50"/>
      <c r="Q12" t="s">
        <v>42</v>
      </c>
    </row>
    <row r="13" spans="1:19" hidden="1">
      <c r="A13" s="52" t="s">
        <v>67</v>
      </c>
      <c r="B13" s="49" t="s">
        <v>70</v>
      </c>
      <c r="C13" t="s">
        <v>98</v>
      </c>
      <c r="D13" t="s">
        <v>9</v>
      </c>
      <c r="E13" s="13"/>
      <c r="F13" s="13">
        <v>162187.44</v>
      </c>
      <c r="G13" s="13"/>
      <c r="H13" s="13">
        <f t="shared" si="0"/>
        <v>162187.44</v>
      </c>
      <c r="I13" s="13"/>
      <c r="J13" s="13">
        <f t="shared" si="1"/>
        <v>162187.44</v>
      </c>
      <c r="K13" s="13"/>
      <c r="L13" s="13"/>
      <c r="M13" s="13"/>
      <c r="N13" s="50"/>
      <c r="O13" s="50"/>
      <c r="P13" s="50"/>
      <c r="Q13" t="s">
        <v>42</v>
      </c>
    </row>
    <row r="14" spans="1:19" hidden="1">
      <c r="A14" s="52" t="s">
        <v>67</v>
      </c>
      <c r="B14" s="49" t="s">
        <v>70</v>
      </c>
      <c r="C14" t="s">
        <v>99</v>
      </c>
      <c r="D14" t="s">
        <v>9</v>
      </c>
      <c r="E14" s="13"/>
      <c r="F14" s="13"/>
      <c r="G14" s="13">
        <v>300000</v>
      </c>
      <c r="H14" s="13">
        <f t="shared" si="0"/>
        <v>300000</v>
      </c>
      <c r="I14" s="13"/>
      <c r="J14" s="13">
        <f t="shared" si="1"/>
        <v>300000</v>
      </c>
      <c r="K14" s="13"/>
      <c r="L14" s="13"/>
      <c r="M14" s="13"/>
      <c r="N14" s="50"/>
      <c r="O14" s="50"/>
      <c r="P14" s="50"/>
      <c r="Q14" t="s">
        <v>42</v>
      </c>
    </row>
    <row r="15" spans="1:19" hidden="1">
      <c r="A15" s="52" t="s">
        <v>67</v>
      </c>
      <c r="B15" s="49" t="s">
        <v>70</v>
      </c>
      <c r="C15" t="s">
        <v>100</v>
      </c>
      <c r="D15" t="s">
        <v>9</v>
      </c>
      <c r="E15" s="13"/>
      <c r="F15" s="13">
        <v>-238.65</v>
      </c>
      <c r="G15" s="13"/>
      <c r="H15" s="13">
        <f t="shared" si="0"/>
        <v>-238.65</v>
      </c>
      <c r="I15" s="13"/>
      <c r="J15" s="13">
        <f t="shared" si="1"/>
        <v>-238.65</v>
      </c>
      <c r="K15" s="13"/>
      <c r="L15" s="13"/>
      <c r="M15" s="13"/>
      <c r="N15" s="50"/>
      <c r="O15" s="50"/>
      <c r="P15" s="50"/>
      <c r="Q15" t="s">
        <v>46</v>
      </c>
    </row>
    <row r="16" spans="1:19" hidden="1">
      <c r="A16" s="52" t="s">
        <v>67</v>
      </c>
      <c r="B16" s="49" t="s">
        <v>70</v>
      </c>
      <c r="C16" t="s">
        <v>101</v>
      </c>
      <c r="D16" t="s">
        <v>9</v>
      </c>
      <c r="E16" s="13">
        <v>9338.9399999999987</v>
      </c>
      <c r="F16" s="13"/>
      <c r="G16" s="13"/>
      <c r="H16" s="13">
        <f t="shared" si="0"/>
        <v>9338.9399999999987</v>
      </c>
      <c r="I16" s="13"/>
      <c r="J16" s="13">
        <f t="shared" si="1"/>
        <v>9338.9399999999987</v>
      </c>
      <c r="K16" s="13"/>
      <c r="L16" s="13"/>
      <c r="M16" s="13"/>
      <c r="N16" s="50"/>
      <c r="O16" s="50"/>
      <c r="P16" s="50"/>
      <c r="Q16" t="s">
        <v>42</v>
      </c>
    </row>
    <row r="17" spans="1:17" hidden="1">
      <c r="A17" s="52" t="s">
        <v>67</v>
      </c>
      <c r="B17" s="49" t="s">
        <v>70</v>
      </c>
      <c r="C17" t="s">
        <v>102</v>
      </c>
      <c r="D17" t="s">
        <v>9</v>
      </c>
      <c r="E17" s="13">
        <v>78267.47</v>
      </c>
      <c r="F17" s="13">
        <v>-8552.8100000000013</v>
      </c>
      <c r="G17" s="13"/>
      <c r="H17" s="13">
        <f t="shared" si="0"/>
        <v>69714.66</v>
      </c>
      <c r="I17" s="13"/>
      <c r="J17" s="13">
        <f t="shared" si="1"/>
        <v>69714.66</v>
      </c>
      <c r="K17" s="13"/>
      <c r="L17" s="13"/>
      <c r="M17" s="13"/>
      <c r="N17" s="50"/>
      <c r="O17" s="50"/>
      <c r="P17" s="50"/>
      <c r="Q17" t="s">
        <v>42</v>
      </c>
    </row>
    <row r="18" spans="1:17" hidden="1">
      <c r="A18" s="52" t="s">
        <v>67</v>
      </c>
      <c r="B18" s="49" t="s">
        <v>70</v>
      </c>
      <c r="C18" t="s">
        <v>103</v>
      </c>
      <c r="D18" t="s">
        <v>9</v>
      </c>
      <c r="E18" s="13">
        <v>1113186.3999999999</v>
      </c>
      <c r="F18" s="13">
        <v>195504.63999999998</v>
      </c>
      <c r="G18" s="13"/>
      <c r="H18" s="13">
        <f t="shared" si="0"/>
        <v>1308691.0399999998</v>
      </c>
      <c r="I18" s="13"/>
      <c r="J18" s="13">
        <f t="shared" si="1"/>
        <v>1308691.0399999998</v>
      </c>
      <c r="K18" s="13"/>
      <c r="L18" s="13"/>
      <c r="M18" s="13"/>
      <c r="N18" s="50"/>
      <c r="O18" s="50"/>
      <c r="P18" s="50"/>
      <c r="Q18" t="s">
        <v>42</v>
      </c>
    </row>
    <row r="19" spans="1:17" hidden="1">
      <c r="A19" s="52" t="s">
        <v>67</v>
      </c>
      <c r="B19" s="49" t="s">
        <v>70</v>
      </c>
      <c r="C19" t="s">
        <v>104</v>
      </c>
      <c r="D19" t="s">
        <v>9</v>
      </c>
      <c r="E19" s="13"/>
      <c r="F19" s="13">
        <v>1218313.4400000002</v>
      </c>
      <c r="G19" s="13"/>
      <c r="H19" s="13">
        <f t="shared" si="0"/>
        <v>1218313.4400000002</v>
      </c>
      <c r="I19" s="13"/>
      <c r="J19" s="13">
        <f t="shared" si="1"/>
        <v>1218313.4400000002</v>
      </c>
      <c r="K19" s="13"/>
      <c r="L19" s="13"/>
      <c r="M19" s="13"/>
      <c r="N19" s="50"/>
      <c r="O19" s="50"/>
      <c r="P19" s="50"/>
      <c r="Q19" t="s">
        <v>42</v>
      </c>
    </row>
    <row r="20" spans="1:17" hidden="1">
      <c r="A20" s="52" t="s">
        <v>67</v>
      </c>
      <c r="B20" s="49" t="s">
        <v>70</v>
      </c>
      <c r="C20" t="s">
        <v>105</v>
      </c>
      <c r="D20" t="s">
        <v>9</v>
      </c>
      <c r="E20" s="13"/>
      <c r="F20" s="13"/>
      <c r="G20" s="13">
        <v>200000</v>
      </c>
      <c r="H20" s="13">
        <f t="shared" si="0"/>
        <v>200000</v>
      </c>
      <c r="I20" s="13"/>
      <c r="J20" s="13">
        <f t="shared" si="1"/>
        <v>200000</v>
      </c>
      <c r="K20" s="13"/>
      <c r="L20" s="13"/>
      <c r="M20" s="13"/>
      <c r="N20" s="50"/>
      <c r="O20" s="50"/>
      <c r="P20" s="50"/>
      <c r="Q20" t="s">
        <v>42</v>
      </c>
    </row>
    <row r="21" spans="1:17" hidden="1">
      <c r="A21" s="52" t="s">
        <v>67</v>
      </c>
      <c r="B21" s="49" t="s">
        <v>70</v>
      </c>
      <c r="C21" t="s">
        <v>106</v>
      </c>
      <c r="D21" t="s">
        <v>9</v>
      </c>
      <c r="E21" s="13">
        <v>201369.46000000008</v>
      </c>
      <c r="F21" s="13">
        <v>46242.100000000006</v>
      </c>
      <c r="G21" s="13"/>
      <c r="H21" s="13">
        <f t="shared" si="0"/>
        <v>247611.56000000008</v>
      </c>
      <c r="I21" s="13"/>
      <c r="J21" s="13">
        <f t="shared" si="1"/>
        <v>247611.56000000008</v>
      </c>
      <c r="K21" s="13"/>
      <c r="L21" s="13"/>
      <c r="M21" s="13"/>
      <c r="N21" s="50"/>
      <c r="O21" s="50"/>
      <c r="P21" s="50"/>
      <c r="Q21" t="s">
        <v>42</v>
      </c>
    </row>
    <row r="22" spans="1:17" hidden="1">
      <c r="A22" s="52" t="s">
        <v>67</v>
      </c>
      <c r="B22" s="49" t="s">
        <v>70</v>
      </c>
      <c r="C22" t="s">
        <v>107</v>
      </c>
      <c r="D22" t="s">
        <v>9</v>
      </c>
      <c r="E22" s="13">
        <v>147554.43</v>
      </c>
      <c r="F22" s="13">
        <v>97935.849999999977</v>
      </c>
      <c r="G22" s="13"/>
      <c r="H22" s="13">
        <f t="shared" si="0"/>
        <v>245490.27999999997</v>
      </c>
      <c r="I22" s="13"/>
      <c r="J22" s="13">
        <f t="shared" si="1"/>
        <v>245490.27999999997</v>
      </c>
      <c r="K22" s="13"/>
      <c r="L22" s="13"/>
      <c r="M22" s="13"/>
      <c r="N22" s="50"/>
      <c r="O22" s="50"/>
      <c r="P22" s="50"/>
      <c r="Q22" t="s">
        <v>42</v>
      </c>
    </row>
    <row r="23" spans="1:17" hidden="1">
      <c r="A23" s="52" t="s">
        <v>67</v>
      </c>
      <c r="B23" s="49" t="s">
        <v>70</v>
      </c>
      <c r="C23" t="s">
        <v>108</v>
      </c>
      <c r="D23" t="s">
        <v>9</v>
      </c>
      <c r="E23" s="13"/>
      <c r="F23" s="13">
        <v>182392.16</v>
      </c>
      <c r="G23" s="13"/>
      <c r="H23" s="13">
        <f t="shared" si="0"/>
        <v>182392.16</v>
      </c>
      <c r="I23" s="13"/>
      <c r="J23" s="13">
        <f t="shared" si="1"/>
        <v>182392.16</v>
      </c>
      <c r="K23" s="13"/>
      <c r="L23" s="13"/>
      <c r="M23" s="13"/>
      <c r="N23" s="50"/>
      <c r="O23" s="50"/>
      <c r="P23" s="50"/>
      <c r="Q23" t="s">
        <v>42</v>
      </c>
    </row>
    <row r="24" spans="1:17" hidden="1">
      <c r="A24" s="52" t="s">
        <v>67</v>
      </c>
      <c r="B24" s="49" t="s">
        <v>70</v>
      </c>
      <c r="C24" t="s">
        <v>109</v>
      </c>
      <c r="D24" t="s">
        <v>9</v>
      </c>
      <c r="E24" s="13"/>
      <c r="F24" s="13"/>
      <c r="G24" s="13">
        <v>350000</v>
      </c>
      <c r="H24" s="13">
        <f t="shared" si="0"/>
        <v>350000</v>
      </c>
      <c r="I24" s="13"/>
      <c r="J24" s="13">
        <f t="shared" si="1"/>
        <v>350000</v>
      </c>
      <c r="K24" s="13"/>
      <c r="L24" s="13"/>
      <c r="M24" s="13"/>
      <c r="N24" s="50"/>
      <c r="O24" s="50"/>
      <c r="P24" s="50"/>
      <c r="Q24" t="s">
        <v>42</v>
      </c>
    </row>
    <row r="25" spans="1:17" hidden="1">
      <c r="A25" s="52" t="s">
        <v>67</v>
      </c>
      <c r="B25" s="49" t="s">
        <v>70</v>
      </c>
      <c r="C25" t="s">
        <v>110</v>
      </c>
      <c r="D25" t="s">
        <v>9</v>
      </c>
      <c r="E25" s="13">
        <v>1239.1899999999998</v>
      </c>
      <c r="F25" s="13"/>
      <c r="G25" s="13"/>
      <c r="H25" s="13">
        <f t="shared" si="0"/>
        <v>1239.1899999999998</v>
      </c>
      <c r="I25" s="13"/>
      <c r="J25" s="13">
        <f t="shared" si="1"/>
        <v>1239.1899999999998</v>
      </c>
      <c r="K25" s="13"/>
      <c r="L25" s="13"/>
      <c r="M25" s="13"/>
      <c r="N25" s="50"/>
      <c r="O25" s="50"/>
      <c r="P25" s="50"/>
      <c r="Q25" t="s">
        <v>42</v>
      </c>
    </row>
    <row r="26" spans="1:17" hidden="1">
      <c r="A26" s="52" t="s">
        <v>67</v>
      </c>
      <c r="B26" s="49" t="s">
        <v>70</v>
      </c>
      <c r="C26" t="s">
        <v>111</v>
      </c>
      <c r="D26" t="s">
        <v>9</v>
      </c>
      <c r="E26" s="13">
        <v>109258.06</v>
      </c>
      <c r="F26" s="13">
        <v>110880.31</v>
      </c>
      <c r="G26" s="13"/>
      <c r="H26" s="13">
        <f t="shared" si="0"/>
        <v>220138.37</v>
      </c>
      <c r="I26" s="13"/>
      <c r="J26" s="13">
        <f t="shared" si="1"/>
        <v>220138.37</v>
      </c>
      <c r="K26" s="13"/>
      <c r="L26" s="13"/>
      <c r="M26" s="13"/>
      <c r="N26" s="50"/>
      <c r="O26" s="50"/>
      <c r="P26" s="50"/>
      <c r="Q26" t="s">
        <v>42</v>
      </c>
    </row>
    <row r="27" spans="1:17" hidden="1">
      <c r="A27" s="52" t="s">
        <v>67</v>
      </c>
      <c r="B27" s="49" t="s">
        <v>70</v>
      </c>
      <c r="C27" t="s">
        <v>112</v>
      </c>
      <c r="D27" t="s">
        <v>9</v>
      </c>
      <c r="E27" s="13"/>
      <c r="F27" s="13">
        <v>345065.25</v>
      </c>
      <c r="G27" s="13"/>
      <c r="H27" s="13">
        <f t="shared" si="0"/>
        <v>345065.25</v>
      </c>
      <c r="I27" s="13"/>
      <c r="J27" s="13">
        <f t="shared" si="1"/>
        <v>345065.25</v>
      </c>
      <c r="K27" s="13"/>
      <c r="L27" s="13"/>
      <c r="M27" s="13"/>
      <c r="N27" s="50"/>
      <c r="O27" s="50"/>
      <c r="P27" s="50"/>
      <c r="Q27" t="s">
        <v>42</v>
      </c>
    </row>
    <row r="28" spans="1:17" hidden="1">
      <c r="A28" s="52" t="s">
        <v>67</v>
      </c>
      <c r="B28" s="49" t="s">
        <v>70</v>
      </c>
      <c r="C28" t="s">
        <v>113</v>
      </c>
      <c r="D28" t="s">
        <v>9</v>
      </c>
      <c r="E28" s="13"/>
      <c r="F28" s="13"/>
      <c r="G28" s="13">
        <v>150000</v>
      </c>
      <c r="H28" s="13">
        <f t="shared" si="0"/>
        <v>150000</v>
      </c>
      <c r="I28" s="13"/>
      <c r="J28" s="13">
        <f t="shared" si="1"/>
        <v>150000</v>
      </c>
      <c r="K28" s="13"/>
      <c r="L28" s="13"/>
      <c r="M28" s="13"/>
      <c r="N28" s="50"/>
      <c r="O28" s="50"/>
      <c r="P28" s="50"/>
      <c r="Q28" t="s">
        <v>42</v>
      </c>
    </row>
    <row r="29" spans="1:17" hidden="1">
      <c r="A29" s="52" t="s">
        <v>67</v>
      </c>
      <c r="B29" s="49" t="s">
        <v>70</v>
      </c>
      <c r="C29" t="s">
        <v>114</v>
      </c>
      <c r="D29" t="s">
        <v>9</v>
      </c>
      <c r="E29" s="13"/>
      <c r="F29" s="13"/>
      <c r="G29" s="13"/>
      <c r="H29" s="13">
        <f t="shared" si="0"/>
        <v>0</v>
      </c>
      <c r="I29" s="13">
        <v>4600000</v>
      </c>
      <c r="J29" s="13">
        <f t="shared" si="1"/>
        <v>4600000</v>
      </c>
      <c r="K29" s="13"/>
      <c r="L29" s="13"/>
      <c r="M29" s="13"/>
      <c r="N29" s="50"/>
      <c r="O29" s="50"/>
      <c r="P29" s="50"/>
      <c r="Q29" t="s">
        <v>42</v>
      </c>
    </row>
    <row r="30" spans="1:17" hidden="1">
      <c r="A30" s="52" t="s">
        <v>67</v>
      </c>
      <c r="B30" s="49" t="s">
        <v>70</v>
      </c>
      <c r="C30" t="s">
        <v>115</v>
      </c>
      <c r="D30" t="s">
        <v>9</v>
      </c>
      <c r="E30" s="13"/>
      <c r="F30" s="13">
        <v>50124.520000000004</v>
      </c>
      <c r="G30" s="13"/>
      <c r="H30" s="13">
        <f t="shared" si="0"/>
        <v>50124.520000000004</v>
      </c>
      <c r="I30" s="13"/>
      <c r="J30" s="13">
        <f t="shared" si="1"/>
        <v>50124.520000000004</v>
      </c>
      <c r="K30" s="13"/>
      <c r="L30" s="13"/>
      <c r="M30" s="13"/>
      <c r="N30" s="50"/>
      <c r="O30" s="50"/>
      <c r="P30" s="50"/>
      <c r="Q30" t="s">
        <v>46</v>
      </c>
    </row>
    <row r="31" spans="1:17" hidden="1">
      <c r="A31" s="52" t="s">
        <v>67</v>
      </c>
      <c r="B31" s="49" t="s">
        <v>70</v>
      </c>
      <c r="C31" t="s">
        <v>116</v>
      </c>
      <c r="D31" t="s">
        <v>9</v>
      </c>
      <c r="E31" s="13">
        <v>64775</v>
      </c>
      <c r="F31" s="13"/>
      <c r="G31" s="13"/>
      <c r="H31" s="13">
        <f t="shared" si="0"/>
        <v>64775</v>
      </c>
      <c r="I31" s="13"/>
      <c r="J31" s="13">
        <f t="shared" si="1"/>
        <v>64775</v>
      </c>
      <c r="K31" s="13"/>
      <c r="L31" s="13"/>
      <c r="M31" s="13"/>
      <c r="N31" s="50"/>
      <c r="O31" s="50"/>
      <c r="P31" s="50"/>
      <c r="Q31" t="s">
        <v>42</v>
      </c>
    </row>
    <row r="32" spans="1:17" hidden="1">
      <c r="A32" s="52" t="s">
        <v>67</v>
      </c>
      <c r="B32" s="49" t="s">
        <v>70</v>
      </c>
      <c r="C32" t="s">
        <v>117</v>
      </c>
      <c r="D32" t="s">
        <v>9</v>
      </c>
      <c r="E32" s="13">
        <v>1060023.9200000004</v>
      </c>
      <c r="F32" s="13">
        <v>483127.24000000005</v>
      </c>
      <c r="G32" s="13"/>
      <c r="H32" s="13">
        <f t="shared" si="0"/>
        <v>1543151.1600000004</v>
      </c>
      <c r="I32" s="13"/>
      <c r="J32" s="13">
        <f t="shared" si="1"/>
        <v>1543151.1600000004</v>
      </c>
      <c r="K32" s="13"/>
      <c r="L32" s="13"/>
      <c r="M32" s="13"/>
      <c r="N32" s="50"/>
      <c r="O32" s="50"/>
      <c r="P32" s="50"/>
      <c r="Q32" t="s">
        <v>42</v>
      </c>
    </row>
    <row r="33" spans="1:22" hidden="1">
      <c r="A33" s="52" t="s">
        <v>67</v>
      </c>
      <c r="B33" s="49" t="s">
        <v>70</v>
      </c>
      <c r="C33" t="s">
        <v>118</v>
      </c>
      <c r="D33" t="s">
        <v>9</v>
      </c>
      <c r="E33" s="13"/>
      <c r="F33" s="13">
        <v>1290869.2300000002</v>
      </c>
      <c r="G33" s="13"/>
      <c r="H33" s="13">
        <f t="shared" si="0"/>
        <v>1290869.2300000002</v>
      </c>
      <c r="I33" s="13"/>
      <c r="J33" s="13">
        <f t="shared" si="1"/>
        <v>1290869.2300000002</v>
      </c>
      <c r="K33" s="13"/>
      <c r="L33" s="13"/>
      <c r="M33" s="13"/>
      <c r="N33" s="50"/>
      <c r="O33" s="50"/>
      <c r="P33" s="50"/>
      <c r="Q33" t="s">
        <v>42</v>
      </c>
    </row>
    <row r="34" spans="1:22" hidden="1">
      <c r="A34" s="52" t="s">
        <v>67</v>
      </c>
      <c r="B34" s="49" t="s">
        <v>70</v>
      </c>
      <c r="C34" t="s">
        <v>119</v>
      </c>
      <c r="D34" t="s">
        <v>9</v>
      </c>
      <c r="E34" s="13"/>
      <c r="F34" s="13">
        <v>105012.22</v>
      </c>
      <c r="G34" s="13">
        <v>200000</v>
      </c>
      <c r="H34" s="13">
        <f t="shared" si="0"/>
        <v>305012.21999999997</v>
      </c>
      <c r="I34" s="13"/>
      <c r="J34" s="13">
        <f t="shared" si="1"/>
        <v>305012.21999999997</v>
      </c>
      <c r="K34" s="13"/>
      <c r="L34" s="13"/>
      <c r="M34" s="13"/>
      <c r="N34" s="50"/>
      <c r="O34" s="50"/>
      <c r="P34" s="50"/>
      <c r="Q34" t="s">
        <v>42</v>
      </c>
    </row>
    <row r="35" spans="1:22" hidden="1">
      <c r="A35" s="52" t="s">
        <v>67</v>
      </c>
      <c r="B35" s="49" t="s">
        <v>70</v>
      </c>
      <c r="C35" t="s">
        <v>120</v>
      </c>
      <c r="D35" t="s">
        <v>9</v>
      </c>
      <c r="E35" s="13">
        <v>1179302.0499999998</v>
      </c>
      <c r="F35" s="13">
        <v>3473143.69</v>
      </c>
      <c r="G35" s="13">
        <v>4209770</v>
      </c>
      <c r="H35" s="13">
        <f t="shared" si="0"/>
        <v>8862215.7400000002</v>
      </c>
      <c r="I35" s="13">
        <v>4293009</v>
      </c>
      <c r="J35" s="13">
        <f t="shared" si="1"/>
        <v>13155224.74</v>
      </c>
      <c r="K35" s="13"/>
      <c r="L35" s="13"/>
      <c r="M35" s="13"/>
      <c r="N35" s="50"/>
      <c r="O35" s="50"/>
      <c r="P35" s="50"/>
      <c r="Q35" t="s">
        <v>45</v>
      </c>
    </row>
    <row r="36" spans="1:22" hidden="1">
      <c r="A36" s="52" t="s">
        <v>67</v>
      </c>
      <c r="B36" s="49" t="s">
        <v>70</v>
      </c>
      <c r="C36" t="s">
        <v>121</v>
      </c>
      <c r="D36" t="s">
        <v>9</v>
      </c>
      <c r="E36" s="13">
        <v>236153.92</v>
      </c>
      <c r="F36" s="13">
        <v>9140.93</v>
      </c>
      <c r="G36" s="13"/>
      <c r="H36" s="13">
        <f t="shared" si="0"/>
        <v>245294.85</v>
      </c>
      <c r="I36" s="13"/>
      <c r="J36" s="13">
        <f t="shared" si="1"/>
        <v>245294.85</v>
      </c>
      <c r="K36" s="13"/>
      <c r="L36" s="13"/>
      <c r="M36" s="13"/>
      <c r="N36" s="50"/>
      <c r="O36" s="50"/>
      <c r="P36" s="50"/>
      <c r="Q36" t="s">
        <v>45</v>
      </c>
    </row>
    <row r="37" spans="1:22" hidden="1">
      <c r="A37" s="52" t="s">
        <v>67</v>
      </c>
      <c r="B37" s="49" t="s">
        <v>70</v>
      </c>
      <c r="C37" t="s">
        <v>122</v>
      </c>
      <c r="D37" t="s">
        <v>9</v>
      </c>
      <c r="E37" s="13">
        <v>117910.08</v>
      </c>
      <c r="F37" s="13">
        <v>760.88000000000022</v>
      </c>
      <c r="G37" s="13"/>
      <c r="H37" s="13">
        <f t="shared" si="0"/>
        <v>118670.96</v>
      </c>
      <c r="I37" s="13"/>
      <c r="J37" s="13">
        <f t="shared" si="1"/>
        <v>118670.96</v>
      </c>
      <c r="K37" s="13"/>
      <c r="L37" s="13"/>
      <c r="M37" s="13"/>
      <c r="N37" s="50"/>
      <c r="O37" s="50"/>
      <c r="P37" s="50"/>
      <c r="Q37" t="s">
        <v>45</v>
      </c>
    </row>
    <row r="38" spans="1:22" hidden="1">
      <c r="A38" s="52" t="s">
        <v>67</v>
      </c>
      <c r="B38" s="49" t="s">
        <v>70</v>
      </c>
      <c r="C38" t="s">
        <v>123</v>
      </c>
      <c r="D38" t="s">
        <v>9</v>
      </c>
      <c r="E38" s="13">
        <v>1441157.6999999995</v>
      </c>
      <c r="F38" s="13">
        <v>39854.909999999989</v>
      </c>
      <c r="G38" s="13"/>
      <c r="H38" s="13">
        <f t="shared" si="0"/>
        <v>1481012.6099999994</v>
      </c>
      <c r="I38" s="13"/>
      <c r="J38" s="13">
        <f t="shared" si="1"/>
        <v>1481012.6099999994</v>
      </c>
      <c r="K38" s="13"/>
      <c r="L38" s="13"/>
      <c r="M38" s="13"/>
      <c r="N38" s="50"/>
      <c r="O38" s="50"/>
      <c r="P38" s="50"/>
      <c r="Q38" t="s">
        <v>45</v>
      </c>
    </row>
    <row r="39" spans="1:22" hidden="1">
      <c r="A39" s="52" t="s">
        <v>67</v>
      </c>
      <c r="B39" s="49" t="s">
        <v>70</v>
      </c>
      <c r="C39" t="s">
        <v>124</v>
      </c>
      <c r="D39" t="s">
        <v>9</v>
      </c>
      <c r="E39" s="13">
        <v>63580.179999999993</v>
      </c>
      <c r="F39" s="13">
        <v>0</v>
      </c>
      <c r="G39" s="13"/>
      <c r="H39" s="13">
        <f t="shared" si="0"/>
        <v>63580.179999999993</v>
      </c>
      <c r="I39" s="13"/>
      <c r="J39" s="13">
        <f t="shared" si="1"/>
        <v>63580.179999999993</v>
      </c>
      <c r="K39" s="13"/>
      <c r="L39" s="13"/>
      <c r="M39" s="13"/>
      <c r="N39" s="50"/>
      <c r="O39" s="50"/>
      <c r="P39" s="50"/>
      <c r="Q39" t="s">
        <v>45</v>
      </c>
    </row>
    <row r="40" spans="1:22" hidden="1">
      <c r="A40" s="52" t="s">
        <v>67</v>
      </c>
      <c r="B40" s="49" t="s">
        <v>70</v>
      </c>
      <c r="C40" t="s">
        <v>125</v>
      </c>
      <c r="D40" t="s">
        <v>9</v>
      </c>
      <c r="E40" s="13">
        <v>581479.54000000015</v>
      </c>
      <c r="F40" s="13">
        <v>1478615.5399999998</v>
      </c>
      <c r="G40" s="13">
        <v>10000</v>
      </c>
      <c r="H40" s="13">
        <f t="shared" si="0"/>
        <v>2070095.08</v>
      </c>
      <c r="I40" s="13"/>
      <c r="J40" s="13">
        <f t="shared" si="1"/>
        <v>2070095.08</v>
      </c>
      <c r="K40" s="13"/>
      <c r="L40" s="13"/>
      <c r="M40" s="13"/>
      <c r="N40" s="50"/>
      <c r="O40" s="50"/>
      <c r="P40" s="50"/>
      <c r="Q40" t="s">
        <v>45</v>
      </c>
    </row>
    <row r="41" spans="1:22" hidden="1">
      <c r="A41" s="52" t="s">
        <v>67</v>
      </c>
      <c r="B41" s="49" t="s">
        <v>70</v>
      </c>
      <c r="C41" t="s">
        <v>126</v>
      </c>
      <c r="D41" t="s">
        <v>9</v>
      </c>
      <c r="E41" s="13">
        <v>3949.8799999999974</v>
      </c>
      <c r="F41" s="13"/>
      <c r="G41" s="13"/>
      <c r="H41" s="13">
        <f t="shared" si="0"/>
        <v>3949.8799999999974</v>
      </c>
      <c r="I41" s="13"/>
      <c r="J41" s="13">
        <f t="shared" si="1"/>
        <v>3949.8799999999974</v>
      </c>
      <c r="K41" s="13"/>
      <c r="L41" s="13"/>
      <c r="M41" s="13"/>
      <c r="N41" s="50"/>
      <c r="O41" s="50"/>
      <c r="P41" s="50"/>
      <c r="Q41" t="s">
        <v>45</v>
      </c>
    </row>
    <row r="42" spans="1:22" hidden="1">
      <c r="A42" s="52" t="s">
        <v>67</v>
      </c>
      <c r="B42" s="49" t="s">
        <v>70</v>
      </c>
      <c r="C42" t="s">
        <v>127</v>
      </c>
      <c r="D42" t="s">
        <v>9</v>
      </c>
      <c r="E42" s="13"/>
      <c r="F42" s="13"/>
      <c r="G42" s="13"/>
      <c r="H42" s="13">
        <f t="shared" si="0"/>
        <v>0</v>
      </c>
      <c r="I42" s="13">
        <v>1200000</v>
      </c>
      <c r="J42" s="13">
        <f t="shared" si="1"/>
        <v>1200000</v>
      </c>
      <c r="K42" s="13"/>
      <c r="L42" s="13"/>
      <c r="M42" s="13"/>
      <c r="N42" s="50"/>
      <c r="O42" s="50"/>
      <c r="P42" s="50"/>
      <c r="Q42" t="s">
        <v>45</v>
      </c>
      <c r="V42">
        <v>2500</v>
      </c>
    </row>
    <row r="43" spans="1:22" hidden="1">
      <c r="A43" s="52" t="s">
        <v>67</v>
      </c>
      <c r="B43" s="49" t="s">
        <v>70</v>
      </c>
      <c r="C43" t="s">
        <v>128</v>
      </c>
      <c r="D43" t="s">
        <v>9</v>
      </c>
      <c r="E43" s="13">
        <v>2776411.6399999997</v>
      </c>
      <c r="F43" s="13">
        <v>251484.32000000009</v>
      </c>
      <c r="G43" s="13">
        <v>110990</v>
      </c>
      <c r="H43" s="13">
        <f t="shared" si="0"/>
        <v>3138885.96</v>
      </c>
      <c r="I43" s="13"/>
      <c r="J43" s="13">
        <f t="shared" si="1"/>
        <v>3138885.96</v>
      </c>
      <c r="K43" s="13"/>
      <c r="L43" s="13"/>
      <c r="M43" s="13"/>
      <c r="N43" s="50"/>
      <c r="O43" s="50"/>
      <c r="P43" s="50"/>
      <c r="Q43" t="s">
        <v>45</v>
      </c>
      <c r="V43">
        <f>165000/2080</f>
        <v>79.32692307692308</v>
      </c>
    </row>
    <row r="44" spans="1:22" hidden="1">
      <c r="A44" s="52" t="s">
        <v>67</v>
      </c>
      <c r="B44" s="49" t="s">
        <v>70</v>
      </c>
      <c r="C44" t="s">
        <v>129</v>
      </c>
      <c r="D44" t="s">
        <v>9</v>
      </c>
      <c r="E44" s="13">
        <v>222.73999999999984</v>
      </c>
      <c r="F44" s="13"/>
      <c r="G44" s="13"/>
      <c r="H44" s="13">
        <f t="shared" si="0"/>
        <v>222.73999999999984</v>
      </c>
      <c r="I44" s="13"/>
      <c r="J44" s="13">
        <f t="shared" si="1"/>
        <v>222.73999999999984</v>
      </c>
      <c r="K44" s="13"/>
      <c r="L44" s="13"/>
      <c r="M44" s="13"/>
      <c r="N44" s="50"/>
      <c r="O44" s="50"/>
      <c r="P44" s="50"/>
      <c r="Q44" t="s">
        <v>42</v>
      </c>
    </row>
    <row r="45" spans="1:22" hidden="1">
      <c r="A45" s="52" t="s">
        <v>67</v>
      </c>
      <c r="B45" s="49" t="s">
        <v>70</v>
      </c>
      <c r="C45" t="s">
        <v>130</v>
      </c>
      <c r="D45" t="s">
        <v>9</v>
      </c>
      <c r="E45" s="13">
        <v>291819.86</v>
      </c>
      <c r="F45" s="13">
        <v>67597.64</v>
      </c>
      <c r="G45" s="13"/>
      <c r="H45" s="13">
        <f t="shared" si="0"/>
        <v>359417.5</v>
      </c>
      <c r="I45" s="13"/>
      <c r="J45" s="13">
        <f t="shared" si="1"/>
        <v>359417.5</v>
      </c>
      <c r="K45" s="13"/>
      <c r="L45" s="13"/>
      <c r="M45" s="13"/>
      <c r="N45" s="50"/>
      <c r="O45" s="50"/>
      <c r="P45" s="50"/>
      <c r="Q45" t="s">
        <v>45</v>
      </c>
      <c r="V45" t="e">
        <f>+V43/V44</f>
        <v>#DIV/0!</v>
      </c>
    </row>
    <row r="46" spans="1:22" hidden="1">
      <c r="A46" s="52" t="s">
        <v>67</v>
      </c>
      <c r="B46" s="49" t="s">
        <v>70</v>
      </c>
      <c r="C46" t="s">
        <v>131</v>
      </c>
      <c r="D46" t="s">
        <v>9</v>
      </c>
      <c r="E46" s="13">
        <v>371499.87000000011</v>
      </c>
      <c r="F46" s="13">
        <v>11904.91</v>
      </c>
      <c r="G46" s="13"/>
      <c r="H46" s="13">
        <f t="shared" si="0"/>
        <v>383404.78000000009</v>
      </c>
      <c r="I46" s="13"/>
      <c r="J46" s="13">
        <f t="shared" si="1"/>
        <v>383404.78000000009</v>
      </c>
      <c r="K46" s="13"/>
      <c r="L46" s="13"/>
      <c r="M46" s="13"/>
      <c r="N46" s="50"/>
      <c r="O46" s="50"/>
      <c r="P46" s="50"/>
      <c r="Q46" t="s">
        <v>45</v>
      </c>
    </row>
    <row r="47" spans="1:22" hidden="1">
      <c r="A47" s="52" t="s">
        <v>67</v>
      </c>
      <c r="B47" s="49" t="s">
        <v>70</v>
      </c>
      <c r="C47" t="s">
        <v>132</v>
      </c>
      <c r="D47" t="s">
        <v>9</v>
      </c>
      <c r="E47" s="13">
        <v>1165998.67</v>
      </c>
      <c r="F47" s="13">
        <v>84989.709999999977</v>
      </c>
      <c r="G47" s="13"/>
      <c r="H47" s="13">
        <f t="shared" si="0"/>
        <v>1250988.3799999999</v>
      </c>
      <c r="I47" s="13"/>
      <c r="J47" s="13">
        <f t="shared" si="1"/>
        <v>1250988.3799999999</v>
      </c>
      <c r="K47" s="13"/>
      <c r="L47" s="13"/>
      <c r="M47" s="13"/>
      <c r="N47" s="50"/>
      <c r="O47" s="50"/>
      <c r="P47" s="50"/>
      <c r="Q47" t="s">
        <v>45</v>
      </c>
    </row>
    <row r="48" spans="1:22" hidden="1">
      <c r="A48" s="52" t="s">
        <v>67</v>
      </c>
      <c r="B48" s="49" t="s">
        <v>70</v>
      </c>
      <c r="C48" t="s">
        <v>133</v>
      </c>
      <c r="D48" t="s">
        <v>9</v>
      </c>
      <c r="E48" s="13">
        <v>882559.22</v>
      </c>
      <c r="F48" s="13">
        <v>771825.38</v>
      </c>
      <c r="G48" s="13">
        <v>1239745</v>
      </c>
      <c r="H48" s="13">
        <f t="shared" si="0"/>
        <v>2894129.6</v>
      </c>
      <c r="I48" s="13">
        <v>3006904</v>
      </c>
      <c r="J48" s="13">
        <f t="shared" si="1"/>
        <v>5901033.5999999996</v>
      </c>
      <c r="K48" s="13"/>
      <c r="L48" s="13"/>
      <c r="M48" s="13"/>
      <c r="N48" s="50"/>
      <c r="O48" s="50"/>
      <c r="P48" s="50"/>
      <c r="Q48" t="s">
        <v>45</v>
      </c>
    </row>
    <row r="49" spans="1:17" hidden="1">
      <c r="A49" s="52" t="s">
        <v>67</v>
      </c>
      <c r="B49" s="49" t="s">
        <v>70</v>
      </c>
      <c r="C49" t="s">
        <v>134</v>
      </c>
      <c r="D49" t="s">
        <v>9</v>
      </c>
      <c r="E49" s="13">
        <v>7196.7799999999979</v>
      </c>
      <c r="F49" s="13">
        <v>51706.06</v>
      </c>
      <c r="G49" s="13">
        <v>1599668</v>
      </c>
      <c r="H49" s="13">
        <f t="shared" si="0"/>
        <v>1658570.84</v>
      </c>
      <c r="I49" s="13"/>
      <c r="J49" s="13">
        <f t="shared" si="1"/>
        <v>1658570.84</v>
      </c>
      <c r="K49" s="13"/>
      <c r="L49" s="13"/>
      <c r="M49" s="13"/>
      <c r="N49" s="50"/>
      <c r="O49" s="50"/>
      <c r="P49" s="50"/>
      <c r="Q49" t="s">
        <v>46</v>
      </c>
    </row>
    <row r="50" spans="1:17" hidden="1">
      <c r="A50" s="52" t="s">
        <v>67</v>
      </c>
      <c r="B50" s="49" t="s">
        <v>70</v>
      </c>
      <c r="C50" t="s">
        <v>135</v>
      </c>
      <c r="D50" t="s">
        <v>9</v>
      </c>
      <c r="E50" s="13"/>
      <c r="F50" s="13"/>
      <c r="G50" s="13"/>
      <c r="H50" s="13">
        <f t="shared" si="0"/>
        <v>0</v>
      </c>
      <c r="I50" s="13">
        <v>1500000</v>
      </c>
      <c r="J50" s="13">
        <f t="shared" si="1"/>
        <v>1500000</v>
      </c>
      <c r="K50" s="13"/>
      <c r="L50" s="13"/>
      <c r="M50" s="13"/>
      <c r="N50" s="50"/>
      <c r="O50" s="50"/>
      <c r="P50" s="50"/>
      <c r="Q50" t="s">
        <v>45</v>
      </c>
    </row>
    <row r="51" spans="1:17" hidden="1">
      <c r="A51" s="52" t="s">
        <v>67</v>
      </c>
      <c r="B51" s="49" t="s">
        <v>70</v>
      </c>
      <c r="C51" t="s">
        <v>136</v>
      </c>
      <c r="D51" t="s">
        <v>9</v>
      </c>
      <c r="E51" s="13">
        <v>249960.67000000007</v>
      </c>
      <c r="F51" s="13"/>
      <c r="G51" s="13"/>
      <c r="H51" s="13">
        <f t="shared" si="0"/>
        <v>249960.67000000007</v>
      </c>
      <c r="I51" s="13"/>
      <c r="J51" s="13">
        <f t="shared" si="1"/>
        <v>249960.67000000007</v>
      </c>
      <c r="K51" s="13"/>
      <c r="L51" s="13"/>
      <c r="M51" s="13"/>
      <c r="N51" s="50"/>
      <c r="O51" s="50"/>
      <c r="P51" s="50"/>
      <c r="Q51" t="s">
        <v>45</v>
      </c>
    </row>
    <row r="52" spans="1:17" hidden="1">
      <c r="A52" s="52" t="s">
        <v>67</v>
      </c>
      <c r="B52" s="49" t="s">
        <v>70</v>
      </c>
      <c r="C52" t="s">
        <v>137</v>
      </c>
      <c r="D52" t="s">
        <v>9</v>
      </c>
      <c r="E52" s="13">
        <v>0</v>
      </c>
      <c r="F52" s="13"/>
      <c r="G52" s="13"/>
      <c r="H52" s="13">
        <f t="shared" si="0"/>
        <v>0</v>
      </c>
      <c r="I52" s="13"/>
      <c r="J52" s="13">
        <f t="shared" si="1"/>
        <v>0</v>
      </c>
      <c r="K52" s="13"/>
      <c r="L52" s="13"/>
      <c r="M52" s="13"/>
      <c r="N52" s="50"/>
      <c r="O52" s="50"/>
      <c r="P52" s="50"/>
      <c r="Q52" t="s">
        <v>42</v>
      </c>
    </row>
    <row r="53" spans="1:17" hidden="1">
      <c r="A53" s="52" t="s">
        <v>67</v>
      </c>
      <c r="B53" s="49" t="s">
        <v>70</v>
      </c>
      <c r="C53" t="s">
        <v>138</v>
      </c>
      <c r="D53" t="s">
        <v>9</v>
      </c>
      <c r="E53" s="13">
        <v>107629.43</v>
      </c>
      <c r="F53" s="13">
        <v>488083.72000000009</v>
      </c>
      <c r="G53" s="13">
        <v>159658</v>
      </c>
      <c r="H53" s="13">
        <f t="shared" si="0"/>
        <v>755371.15000000014</v>
      </c>
      <c r="I53" s="13"/>
      <c r="J53" s="13">
        <f t="shared" si="1"/>
        <v>755371.15000000014</v>
      </c>
      <c r="K53" s="13"/>
      <c r="L53" s="13"/>
      <c r="M53" s="13"/>
      <c r="N53" s="50"/>
      <c r="O53" s="50"/>
      <c r="P53" s="50"/>
      <c r="Q53" t="s">
        <v>45</v>
      </c>
    </row>
    <row r="54" spans="1:17" hidden="1">
      <c r="A54" s="52" t="s">
        <v>67</v>
      </c>
      <c r="B54" s="49" t="s">
        <v>70</v>
      </c>
      <c r="C54" t="s">
        <v>139</v>
      </c>
      <c r="D54" t="s">
        <v>9</v>
      </c>
      <c r="E54" s="13">
        <v>234556.38000000012</v>
      </c>
      <c r="F54" s="13">
        <v>277060.18999999994</v>
      </c>
      <c r="G54" s="13"/>
      <c r="H54" s="13">
        <f t="shared" si="0"/>
        <v>511616.57000000007</v>
      </c>
      <c r="I54" s="13"/>
      <c r="J54" s="13">
        <f t="shared" si="1"/>
        <v>511616.57000000007</v>
      </c>
      <c r="K54" s="13"/>
      <c r="L54" s="13"/>
      <c r="M54" s="13"/>
      <c r="N54" s="50"/>
      <c r="O54" s="50"/>
      <c r="P54" s="50"/>
      <c r="Q54" t="s">
        <v>45</v>
      </c>
    </row>
    <row r="55" spans="1:17" hidden="1">
      <c r="A55" s="52" t="s">
        <v>67</v>
      </c>
      <c r="B55" s="49" t="s">
        <v>70</v>
      </c>
      <c r="C55" t="s">
        <v>140</v>
      </c>
      <c r="D55" t="s">
        <v>9</v>
      </c>
      <c r="E55" s="13">
        <v>124984.67999999998</v>
      </c>
      <c r="F55" s="13">
        <v>330785.48</v>
      </c>
      <c r="G55" s="13">
        <v>8545</v>
      </c>
      <c r="H55" s="13">
        <f t="shared" si="0"/>
        <v>464315.16</v>
      </c>
      <c r="I55" s="13"/>
      <c r="J55" s="13">
        <f t="shared" si="1"/>
        <v>464315.16</v>
      </c>
      <c r="K55" s="13"/>
      <c r="L55" s="13"/>
      <c r="M55" s="13"/>
      <c r="N55" s="50"/>
      <c r="O55" s="50"/>
      <c r="P55" s="50"/>
      <c r="Q55" t="s">
        <v>45</v>
      </c>
    </row>
    <row r="56" spans="1:17" hidden="1">
      <c r="A56" s="52" t="s">
        <v>67</v>
      </c>
      <c r="B56" s="49" t="s">
        <v>70</v>
      </c>
      <c r="C56" t="s">
        <v>141</v>
      </c>
      <c r="D56" t="s">
        <v>9</v>
      </c>
      <c r="E56" s="13"/>
      <c r="F56" s="13"/>
      <c r="G56" s="13">
        <v>650000</v>
      </c>
      <c r="H56" s="13">
        <f t="shared" si="0"/>
        <v>650000</v>
      </c>
      <c r="I56" s="13"/>
      <c r="J56" s="13">
        <f t="shared" si="1"/>
        <v>650000</v>
      </c>
      <c r="K56" s="13"/>
      <c r="L56" s="13"/>
      <c r="M56" s="13"/>
      <c r="N56" s="50"/>
      <c r="O56" s="50"/>
      <c r="P56" s="50"/>
      <c r="Q56" t="s">
        <v>45</v>
      </c>
    </row>
    <row r="57" spans="1:17" hidden="1">
      <c r="A57" s="52" t="s">
        <v>67</v>
      </c>
      <c r="B57" s="49" t="s">
        <v>70</v>
      </c>
      <c r="C57" t="s">
        <v>142</v>
      </c>
      <c r="D57" t="s">
        <v>9</v>
      </c>
      <c r="E57" s="13"/>
      <c r="F57" s="13">
        <v>1200508.8600000001</v>
      </c>
      <c r="G57" s="13">
        <v>500000</v>
      </c>
      <c r="H57" s="13">
        <f t="shared" si="0"/>
        <v>1700508.86</v>
      </c>
      <c r="I57" s="13"/>
      <c r="J57" s="13">
        <f t="shared" si="1"/>
        <v>1700508.86</v>
      </c>
      <c r="K57" s="13"/>
      <c r="L57" s="13"/>
      <c r="M57" s="13"/>
      <c r="N57" s="50"/>
      <c r="O57" s="50"/>
      <c r="P57" s="50"/>
      <c r="Q57" t="s">
        <v>45</v>
      </c>
    </row>
    <row r="58" spans="1:17" hidden="1">
      <c r="A58" s="52" t="s">
        <v>67</v>
      </c>
      <c r="B58" s="49" t="s">
        <v>70</v>
      </c>
      <c r="C58" t="s">
        <v>143</v>
      </c>
      <c r="D58" t="s">
        <v>9</v>
      </c>
      <c r="E58" s="13"/>
      <c r="F58" s="13">
        <v>2712741.06</v>
      </c>
      <c r="G58" s="13">
        <v>100000</v>
      </c>
      <c r="H58" s="13">
        <f t="shared" si="0"/>
        <v>2812741.06</v>
      </c>
      <c r="I58" s="13"/>
      <c r="J58" s="13">
        <f t="shared" si="1"/>
        <v>2812741.06</v>
      </c>
      <c r="K58" s="13"/>
      <c r="L58" s="13"/>
      <c r="M58" s="13"/>
      <c r="N58" s="50"/>
      <c r="O58" s="50"/>
      <c r="P58" s="50"/>
      <c r="Q58" t="s">
        <v>45</v>
      </c>
    </row>
    <row r="59" spans="1:17" hidden="1">
      <c r="A59" s="52" t="s">
        <v>67</v>
      </c>
      <c r="B59" s="49" t="s">
        <v>70</v>
      </c>
      <c r="C59" t="s">
        <v>144</v>
      </c>
      <c r="D59" t="s">
        <v>9</v>
      </c>
      <c r="E59" s="13"/>
      <c r="F59" s="13"/>
      <c r="G59" s="13"/>
      <c r="H59" s="13">
        <f t="shared" si="0"/>
        <v>0</v>
      </c>
      <c r="I59" s="13">
        <v>150000</v>
      </c>
      <c r="J59" s="13">
        <f t="shared" si="1"/>
        <v>150000</v>
      </c>
      <c r="K59" s="13"/>
      <c r="L59" s="13"/>
      <c r="M59" s="13"/>
      <c r="N59" s="50"/>
      <c r="O59" s="50"/>
      <c r="P59" s="50"/>
      <c r="Q59" t="s">
        <v>45</v>
      </c>
    </row>
    <row r="60" spans="1:17" hidden="1">
      <c r="A60" s="52" t="s">
        <v>67</v>
      </c>
      <c r="B60" s="49" t="s">
        <v>70</v>
      </c>
      <c r="C60" t="s">
        <v>145</v>
      </c>
      <c r="D60" t="s">
        <v>9</v>
      </c>
      <c r="E60" s="13"/>
      <c r="F60" s="13"/>
      <c r="G60" s="13"/>
      <c r="H60" s="13">
        <f t="shared" si="0"/>
        <v>0</v>
      </c>
      <c r="I60" s="13">
        <v>150000</v>
      </c>
      <c r="J60" s="13">
        <f t="shared" si="1"/>
        <v>150000</v>
      </c>
      <c r="K60" s="13"/>
      <c r="L60" s="13"/>
      <c r="M60" s="13"/>
      <c r="N60" s="50"/>
      <c r="O60" s="50"/>
      <c r="P60" s="50"/>
      <c r="Q60" t="s">
        <v>45</v>
      </c>
    </row>
    <row r="61" spans="1:17" hidden="1">
      <c r="A61" s="52" t="s">
        <v>67</v>
      </c>
      <c r="B61" s="49" t="s">
        <v>70</v>
      </c>
      <c r="C61" t="s">
        <v>146</v>
      </c>
      <c r="D61" t="s">
        <v>9</v>
      </c>
      <c r="E61" s="13"/>
      <c r="F61" s="13"/>
      <c r="G61" s="13"/>
      <c r="H61" s="13">
        <f t="shared" si="0"/>
        <v>0</v>
      </c>
      <c r="I61" s="13">
        <v>150000</v>
      </c>
      <c r="J61" s="13">
        <f t="shared" si="1"/>
        <v>150000</v>
      </c>
      <c r="K61" s="13"/>
      <c r="L61" s="13"/>
      <c r="M61" s="13"/>
      <c r="N61" s="50"/>
      <c r="O61" s="50"/>
      <c r="P61" s="50"/>
      <c r="Q61" t="s">
        <v>45</v>
      </c>
    </row>
    <row r="62" spans="1:17" hidden="1">
      <c r="A62" s="52" t="s">
        <v>67</v>
      </c>
      <c r="B62" s="49" t="s">
        <v>70</v>
      </c>
      <c r="C62" t="s">
        <v>147</v>
      </c>
      <c r="D62" t="s">
        <v>9</v>
      </c>
      <c r="E62" s="13"/>
      <c r="F62" s="13"/>
      <c r="G62" s="13"/>
      <c r="H62" s="13">
        <f t="shared" si="0"/>
        <v>0</v>
      </c>
      <c r="I62" s="13">
        <v>150000</v>
      </c>
      <c r="J62" s="13">
        <f t="shared" si="1"/>
        <v>150000</v>
      </c>
      <c r="K62" s="13"/>
      <c r="L62" s="13"/>
      <c r="M62" s="13"/>
      <c r="N62" s="50"/>
      <c r="O62" s="50"/>
      <c r="P62" s="50"/>
      <c r="Q62" t="s">
        <v>45</v>
      </c>
    </row>
    <row r="63" spans="1:17" hidden="1">
      <c r="A63" s="52" t="s">
        <v>67</v>
      </c>
      <c r="B63" s="49" t="s">
        <v>70</v>
      </c>
      <c r="C63" t="s">
        <v>148</v>
      </c>
      <c r="D63" t="s">
        <v>9</v>
      </c>
      <c r="E63" s="13"/>
      <c r="F63" s="13"/>
      <c r="G63" s="13"/>
      <c r="H63" s="13">
        <f t="shared" si="0"/>
        <v>0</v>
      </c>
      <c r="I63" s="13">
        <v>150000</v>
      </c>
      <c r="J63" s="13">
        <f t="shared" si="1"/>
        <v>150000</v>
      </c>
      <c r="K63" s="13"/>
      <c r="L63" s="13"/>
      <c r="M63" s="13"/>
      <c r="N63" s="50"/>
      <c r="O63" s="50"/>
      <c r="P63" s="50"/>
      <c r="Q63" t="s">
        <v>45</v>
      </c>
    </row>
    <row r="64" spans="1:17" hidden="1">
      <c r="A64" s="52" t="s">
        <v>67</v>
      </c>
      <c r="B64" s="49" t="s">
        <v>70</v>
      </c>
      <c r="C64" t="s">
        <v>149</v>
      </c>
      <c r="D64" t="s">
        <v>9</v>
      </c>
      <c r="E64" s="13">
        <v>2322393.9700000007</v>
      </c>
      <c r="F64" s="13">
        <v>336100.62</v>
      </c>
      <c r="G64" s="13"/>
      <c r="H64" s="13">
        <f t="shared" si="0"/>
        <v>2658494.5900000008</v>
      </c>
      <c r="I64" s="13"/>
      <c r="J64" s="13">
        <f t="shared" si="1"/>
        <v>2658494.5900000008</v>
      </c>
      <c r="K64" s="13"/>
      <c r="L64" s="13"/>
      <c r="M64" s="13"/>
      <c r="N64" s="50"/>
      <c r="O64" s="50"/>
      <c r="P64" s="50"/>
      <c r="Q64" t="s">
        <v>43</v>
      </c>
    </row>
    <row r="65" spans="1:17" hidden="1">
      <c r="A65" s="52" t="s">
        <v>67</v>
      </c>
      <c r="B65" s="49" t="s">
        <v>70</v>
      </c>
      <c r="C65" t="s">
        <v>150</v>
      </c>
      <c r="D65" t="s">
        <v>47</v>
      </c>
      <c r="E65" s="13">
        <v>24530792.269999992</v>
      </c>
      <c r="F65" s="13">
        <v>4406279.7699999986</v>
      </c>
      <c r="G65" s="13">
        <v>12440511</v>
      </c>
      <c r="H65" s="13">
        <f t="shared" si="0"/>
        <v>41377583.039999992</v>
      </c>
      <c r="I65" s="13"/>
      <c r="J65" s="13">
        <f t="shared" si="1"/>
        <v>41377583.039999992</v>
      </c>
      <c r="K65" s="13"/>
      <c r="L65" s="13"/>
      <c r="M65" s="13"/>
      <c r="N65" s="50"/>
      <c r="O65" s="50"/>
      <c r="P65" s="50"/>
      <c r="Q65" t="s">
        <v>16</v>
      </c>
    </row>
    <row r="66" spans="1:17" hidden="1">
      <c r="A66" s="52" t="s">
        <v>67</v>
      </c>
      <c r="B66" s="49" t="s">
        <v>70</v>
      </c>
      <c r="C66" t="s">
        <v>151</v>
      </c>
      <c r="D66" t="s">
        <v>9</v>
      </c>
      <c r="E66" s="13">
        <v>224124.12999999992</v>
      </c>
      <c r="F66" s="13">
        <v>2736.7200000000003</v>
      </c>
      <c r="G66" s="13"/>
      <c r="H66" s="13">
        <f t="shared" ref="H66:J129" si="2">+SUM(E66:G66)</f>
        <v>226860.84999999992</v>
      </c>
      <c r="I66" s="13"/>
      <c r="J66" s="13">
        <f t="shared" ref="J66:J129" si="3">+I66+H66</f>
        <v>226860.84999999992</v>
      </c>
      <c r="K66" s="13"/>
      <c r="L66" s="13"/>
      <c r="M66" s="13"/>
      <c r="N66" s="50"/>
      <c r="O66" s="50"/>
      <c r="P66" s="50"/>
      <c r="Q66" t="s">
        <v>45</v>
      </c>
    </row>
    <row r="67" spans="1:17" hidden="1">
      <c r="A67" s="52" t="s">
        <v>67</v>
      </c>
      <c r="B67" s="49" t="s">
        <v>70</v>
      </c>
      <c r="C67" t="s">
        <v>152</v>
      </c>
      <c r="D67" t="s">
        <v>9</v>
      </c>
      <c r="E67" s="13"/>
      <c r="F67" s="13">
        <v>912830.81</v>
      </c>
      <c r="G67" s="13"/>
      <c r="H67" s="13">
        <f t="shared" si="2"/>
        <v>912830.81</v>
      </c>
      <c r="I67" s="13"/>
      <c r="J67" s="13">
        <f t="shared" si="3"/>
        <v>912830.81</v>
      </c>
      <c r="K67" s="13"/>
      <c r="L67" s="13"/>
      <c r="M67" s="13"/>
      <c r="N67" s="50"/>
      <c r="O67" s="50"/>
      <c r="P67" s="50"/>
      <c r="Q67" t="s">
        <v>45</v>
      </c>
    </row>
    <row r="68" spans="1:17" hidden="1">
      <c r="A68" s="52" t="s">
        <v>67</v>
      </c>
      <c r="B68" s="49" t="s">
        <v>70</v>
      </c>
      <c r="C68" t="s">
        <v>153</v>
      </c>
      <c r="D68" t="s">
        <v>9</v>
      </c>
      <c r="E68" s="13">
        <v>-482.07</v>
      </c>
      <c r="F68" s="13"/>
      <c r="G68" s="13"/>
      <c r="H68" s="13">
        <f t="shared" si="2"/>
        <v>-482.07</v>
      </c>
      <c r="I68" s="13"/>
      <c r="J68" s="13">
        <f t="shared" si="3"/>
        <v>-482.07</v>
      </c>
      <c r="K68" s="13"/>
      <c r="L68" s="13"/>
      <c r="M68" s="13"/>
      <c r="N68" s="50"/>
      <c r="O68" s="50"/>
      <c r="P68" s="50"/>
      <c r="Q68" t="s">
        <v>45</v>
      </c>
    </row>
    <row r="69" spans="1:17" hidden="1">
      <c r="A69" s="52" t="s">
        <v>67</v>
      </c>
      <c r="B69" s="49" t="s">
        <v>70</v>
      </c>
      <c r="C69" t="s">
        <v>154</v>
      </c>
      <c r="D69" t="s">
        <v>9</v>
      </c>
      <c r="E69" s="13"/>
      <c r="F69" s="13"/>
      <c r="G69" s="13"/>
      <c r="H69" s="13">
        <f t="shared" si="2"/>
        <v>0</v>
      </c>
      <c r="I69" s="13">
        <v>100000</v>
      </c>
      <c r="J69" s="13">
        <f t="shared" si="3"/>
        <v>100000</v>
      </c>
      <c r="K69" s="13"/>
      <c r="L69" s="13"/>
      <c r="M69" s="13"/>
      <c r="N69" s="50"/>
      <c r="O69" s="50"/>
      <c r="P69" s="50"/>
      <c r="Q69" t="s">
        <v>46</v>
      </c>
    </row>
    <row r="70" spans="1:17" hidden="1">
      <c r="A70" s="52" t="s">
        <v>67</v>
      </c>
      <c r="B70" s="49" t="s">
        <v>70</v>
      </c>
      <c r="C70" t="s">
        <v>155</v>
      </c>
      <c r="D70" t="s">
        <v>9</v>
      </c>
      <c r="E70" s="13"/>
      <c r="F70" s="13"/>
      <c r="G70" s="13"/>
      <c r="H70" s="13">
        <f t="shared" si="2"/>
        <v>0</v>
      </c>
      <c r="I70" s="13">
        <v>750000</v>
      </c>
      <c r="J70" s="13">
        <f t="shared" si="3"/>
        <v>750000</v>
      </c>
      <c r="K70" s="13"/>
      <c r="L70" s="13"/>
      <c r="M70" s="13"/>
      <c r="N70" s="50"/>
      <c r="O70" s="50"/>
      <c r="P70" s="50"/>
      <c r="Q70" t="s">
        <v>46</v>
      </c>
    </row>
    <row r="71" spans="1:17" hidden="1">
      <c r="A71" s="52" t="s">
        <v>67</v>
      </c>
      <c r="B71" s="49" t="s">
        <v>70</v>
      </c>
      <c r="C71" t="s">
        <v>156</v>
      </c>
      <c r="D71" t="s">
        <v>9</v>
      </c>
      <c r="E71" s="13">
        <v>1135496.5800000003</v>
      </c>
      <c r="F71" s="13">
        <v>173186.31000000003</v>
      </c>
      <c r="G71" s="13"/>
      <c r="H71" s="13">
        <f t="shared" si="2"/>
        <v>1308682.8900000004</v>
      </c>
      <c r="I71" s="13"/>
      <c r="J71" s="13">
        <f t="shared" si="3"/>
        <v>1308682.8900000004</v>
      </c>
      <c r="K71" s="13"/>
      <c r="L71" s="13"/>
      <c r="M71" s="13"/>
      <c r="N71" s="50"/>
      <c r="O71" s="50"/>
      <c r="P71" s="50"/>
      <c r="Q71" t="s">
        <v>43</v>
      </c>
    </row>
    <row r="72" spans="1:17" hidden="1">
      <c r="A72" s="52" t="s">
        <v>67</v>
      </c>
      <c r="B72" s="49" t="s">
        <v>70</v>
      </c>
      <c r="C72" t="s">
        <v>157</v>
      </c>
      <c r="D72" t="s">
        <v>9</v>
      </c>
      <c r="E72" s="13"/>
      <c r="F72" s="13">
        <v>40808.730000000003</v>
      </c>
      <c r="G72" s="13">
        <v>153265</v>
      </c>
      <c r="H72" s="13">
        <f t="shared" si="2"/>
        <v>194073.73</v>
      </c>
      <c r="I72" s="13">
        <v>1219965</v>
      </c>
      <c r="J72" s="13">
        <f t="shared" si="3"/>
        <v>1414038.73</v>
      </c>
      <c r="K72" s="13"/>
      <c r="L72" s="13"/>
      <c r="M72" s="13"/>
      <c r="N72" s="50"/>
      <c r="O72" s="50"/>
      <c r="P72" s="50"/>
      <c r="Q72" t="s">
        <v>46</v>
      </c>
    </row>
    <row r="73" spans="1:17" hidden="1">
      <c r="A73" s="52" t="s">
        <v>67</v>
      </c>
      <c r="B73" s="49" t="s">
        <v>70</v>
      </c>
      <c r="C73" t="s">
        <v>158</v>
      </c>
      <c r="D73" t="s">
        <v>9</v>
      </c>
      <c r="E73" s="13">
        <v>3739.34</v>
      </c>
      <c r="F73" s="13"/>
      <c r="G73" s="13"/>
      <c r="H73" s="13">
        <f t="shared" si="2"/>
        <v>3739.34</v>
      </c>
      <c r="I73" s="13"/>
      <c r="J73" s="13">
        <f t="shared" si="3"/>
        <v>3739.34</v>
      </c>
      <c r="K73" s="13"/>
      <c r="L73" s="13"/>
      <c r="M73" s="13"/>
      <c r="N73" s="50"/>
      <c r="O73" s="50"/>
      <c r="P73" s="50"/>
      <c r="Q73" t="s">
        <v>42</v>
      </c>
    </row>
    <row r="74" spans="1:17" hidden="1">
      <c r="A74" s="52" t="s">
        <v>67</v>
      </c>
      <c r="B74" s="49" t="s">
        <v>70</v>
      </c>
      <c r="C74" t="s">
        <v>159</v>
      </c>
      <c r="D74" t="s">
        <v>9</v>
      </c>
      <c r="E74" s="13"/>
      <c r="F74" s="13">
        <v>499734.38</v>
      </c>
      <c r="G74" s="13">
        <v>961978</v>
      </c>
      <c r="H74" s="13">
        <f t="shared" si="2"/>
        <v>1461712.38</v>
      </c>
      <c r="I74" s="13"/>
      <c r="J74" s="13">
        <f t="shared" si="3"/>
        <v>1461712.38</v>
      </c>
      <c r="K74" s="13"/>
      <c r="L74" s="13"/>
      <c r="M74" s="13"/>
      <c r="N74" s="50"/>
      <c r="O74" s="50"/>
      <c r="P74" s="50"/>
      <c r="Q74" t="s">
        <v>45</v>
      </c>
    </row>
    <row r="75" spans="1:17" hidden="1">
      <c r="A75" s="52" t="s">
        <v>67</v>
      </c>
      <c r="B75" s="49" t="s">
        <v>70</v>
      </c>
      <c r="C75" t="s">
        <v>160</v>
      </c>
      <c r="D75" t="s">
        <v>9</v>
      </c>
      <c r="E75" s="13"/>
      <c r="F75" s="13">
        <v>11130309.970000001</v>
      </c>
      <c r="G75" s="13">
        <v>1858375</v>
      </c>
      <c r="H75" s="13">
        <f t="shared" si="2"/>
        <v>12988684.970000001</v>
      </c>
      <c r="I75" s="13"/>
      <c r="J75" s="13">
        <f t="shared" si="3"/>
        <v>12988684.970000001</v>
      </c>
      <c r="K75" s="13"/>
      <c r="L75" s="13"/>
      <c r="M75" s="13"/>
      <c r="N75" s="50"/>
      <c r="O75" s="50"/>
      <c r="P75" s="50"/>
      <c r="Q75" t="s">
        <v>46</v>
      </c>
    </row>
    <row r="76" spans="1:17" hidden="1">
      <c r="A76" s="52" t="s">
        <v>67</v>
      </c>
      <c r="B76" s="49" t="s">
        <v>70</v>
      </c>
      <c r="C76" t="s">
        <v>161</v>
      </c>
      <c r="D76" t="s">
        <v>9</v>
      </c>
      <c r="E76" s="13">
        <v>383769.43999999994</v>
      </c>
      <c r="F76" s="13">
        <v>198051.31</v>
      </c>
      <c r="G76" s="13"/>
      <c r="H76" s="13">
        <f t="shared" si="2"/>
        <v>581820.75</v>
      </c>
      <c r="I76" s="13"/>
      <c r="J76" s="13">
        <f t="shared" si="3"/>
        <v>581820.75</v>
      </c>
      <c r="K76" s="13"/>
      <c r="L76" s="13"/>
      <c r="M76" s="13"/>
      <c r="N76" s="50"/>
      <c r="O76" s="50"/>
      <c r="P76" s="50"/>
      <c r="Q76" t="s">
        <v>45</v>
      </c>
    </row>
    <row r="77" spans="1:17" hidden="1">
      <c r="A77" s="52" t="s">
        <v>67</v>
      </c>
      <c r="B77" s="49" t="s">
        <v>70</v>
      </c>
      <c r="C77" t="s">
        <v>162</v>
      </c>
      <c r="D77" t="s">
        <v>9</v>
      </c>
      <c r="E77" s="13"/>
      <c r="F77" s="13">
        <v>519246.5</v>
      </c>
      <c r="G77" s="13"/>
      <c r="H77" s="13">
        <f t="shared" si="2"/>
        <v>519246.5</v>
      </c>
      <c r="I77" s="13">
        <v>9450000</v>
      </c>
      <c r="J77" s="13">
        <f t="shared" si="3"/>
        <v>9969246.5</v>
      </c>
      <c r="K77" s="13"/>
      <c r="L77" s="13"/>
      <c r="M77" s="13"/>
      <c r="N77" s="50"/>
      <c r="O77" s="50"/>
      <c r="P77" s="50"/>
      <c r="Q77" t="s">
        <v>45</v>
      </c>
    </row>
    <row r="78" spans="1:17" hidden="1">
      <c r="A78" s="52" t="s">
        <v>67</v>
      </c>
      <c r="B78" s="49" t="s">
        <v>70</v>
      </c>
      <c r="C78" t="s">
        <v>163</v>
      </c>
      <c r="D78" t="s">
        <v>9</v>
      </c>
      <c r="E78" s="13">
        <v>248391.88999999998</v>
      </c>
      <c r="F78" s="13">
        <v>-13129.17</v>
      </c>
      <c r="G78" s="13"/>
      <c r="H78" s="13">
        <f t="shared" si="2"/>
        <v>235262.71999999997</v>
      </c>
      <c r="I78" s="13"/>
      <c r="J78" s="13">
        <f t="shared" si="3"/>
        <v>235262.71999999997</v>
      </c>
      <c r="K78" s="13"/>
      <c r="L78" s="13"/>
      <c r="M78" s="13"/>
      <c r="N78" s="50"/>
      <c r="O78" s="50"/>
      <c r="P78" s="50"/>
      <c r="Q78" t="s">
        <v>45</v>
      </c>
    </row>
    <row r="79" spans="1:17" hidden="1">
      <c r="A79" s="52" t="s">
        <v>67</v>
      </c>
      <c r="B79" s="49" t="s">
        <v>70</v>
      </c>
      <c r="C79" t="s">
        <v>164</v>
      </c>
      <c r="D79" t="s">
        <v>9</v>
      </c>
      <c r="E79" s="13">
        <v>232679.79000000004</v>
      </c>
      <c r="F79" s="13">
        <v>173530.86</v>
      </c>
      <c r="G79" s="13"/>
      <c r="H79" s="13">
        <f t="shared" si="2"/>
        <v>406210.65</v>
      </c>
      <c r="I79" s="13"/>
      <c r="J79" s="13">
        <f t="shared" si="3"/>
        <v>406210.65</v>
      </c>
      <c r="K79" s="13"/>
      <c r="L79" s="13"/>
      <c r="M79" s="13"/>
      <c r="N79" s="50"/>
      <c r="O79" s="50"/>
      <c r="P79" s="50"/>
      <c r="Q79" t="s">
        <v>45</v>
      </c>
    </row>
    <row r="80" spans="1:17" hidden="1">
      <c r="A80" s="52" t="s">
        <v>67</v>
      </c>
      <c r="B80" s="49" t="s">
        <v>70</v>
      </c>
      <c r="C80" t="s">
        <v>165</v>
      </c>
      <c r="D80" t="s">
        <v>9</v>
      </c>
      <c r="E80" s="13"/>
      <c r="F80" s="13">
        <v>73384.28</v>
      </c>
      <c r="G80" s="13"/>
      <c r="H80" s="13">
        <f t="shared" si="2"/>
        <v>73384.28</v>
      </c>
      <c r="I80" s="13"/>
      <c r="J80" s="13">
        <f t="shared" si="3"/>
        <v>73384.28</v>
      </c>
      <c r="K80" s="13"/>
      <c r="L80" s="13"/>
      <c r="M80" s="13"/>
      <c r="N80" s="50"/>
      <c r="O80" s="50"/>
      <c r="P80" s="50"/>
      <c r="Q80" t="s">
        <v>45</v>
      </c>
    </row>
    <row r="81" spans="1:17" hidden="1">
      <c r="A81" s="52" t="s">
        <v>67</v>
      </c>
      <c r="B81" s="49" t="s">
        <v>70</v>
      </c>
      <c r="C81" t="s">
        <v>166</v>
      </c>
      <c r="D81" t="s">
        <v>9</v>
      </c>
      <c r="E81" s="13">
        <v>2640750.54</v>
      </c>
      <c r="F81" s="13">
        <v>2836480.9999999995</v>
      </c>
      <c r="G81" s="13"/>
      <c r="H81" s="13">
        <f t="shared" si="2"/>
        <v>5477231.5399999991</v>
      </c>
      <c r="I81" s="13"/>
      <c r="J81" s="13">
        <f t="shared" si="3"/>
        <v>5477231.5399999991</v>
      </c>
      <c r="K81" s="13"/>
      <c r="L81" s="13"/>
      <c r="M81" s="13"/>
      <c r="N81" s="50"/>
      <c r="O81" s="50"/>
      <c r="P81" s="50"/>
      <c r="Q81" t="s">
        <v>46</v>
      </c>
    </row>
    <row r="82" spans="1:17" hidden="1">
      <c r="A82" s="52" t="s">
        <v>67</v>
      </c>
      <c r="B82" s="49" t="s">
        <v>70</v>
      </c>
      <c r="C82" t="s">
        <v>167</v>
      </c>
      <c r="D82" t="s">
        <v>9</v>
      </c>
      <c r="E82" s="13">
        <v>1395812.1199999999</v>
      </c>
      <c r="F82" s="13">
        <v>27954</v>
      </c>
      <c r="G82" s="13"/>
      <c r="H82" s="13">
        <f t="shared" si="2"/>
        <v>1423766.1199999999</v>
      </c>
      <c r="I82" s="13"/>
      <c r="J82" s="13">
        <f t="shared" si="3"/>
        <v>1423766.1199999999</v>
      </c>
      <c r="K82" s="13"/>
      <c r="L82" s="13"/>
      <c r="M82" s="13"/>
      <c r="N82" s="50"/>
      <c r="O82" s="50"/>
      <c r="P82" s="50"/>
      <c r="Q82" t="s">
        <v>43</v>
      </c>
    </row>
    <row r="83" spans="1:17" hidden="1">
      <c r="A83" s="52" t="s">
        <v>67</v>
      </c>
      <c r="B83" s="49" t="s">
        <v>70</v>
      </c>
      <c r="C83" t="s">
        <v>168</v>
      </c>
      <c r="D83" t="s">
        <v>9</v>
      </c>
      <c r="E83" s="13">
        <v>66916.92</v>
      </c>
      <c r="F83" s="13"/>
      <c r="G83" s="13"/>
      <c r="H83" s="13">
        <f t="shared" si="2"/>
        <v>66916.92</v>
      </c>
      <c r="I83" s="13"/>
      <c r="J83" s="13">
        <f t="shared" si="3"/>
        <v>66916.92</v>
      </c>
      <c r="K83" s="13"/>
      <c r="L83" s="13"/>
      <c r="M83" s="13"/>
      <c r="N83" s="50"/>
      <c r="O83" s="50"/>
      <c r="P83" s="50"/>
      <c r="Q83" t="s">
        <v>46</v>
      </c>
    </row>
    <row r="84" spans="1:17" hidden="1">
      <c r="A84" s="52" t="s">
        <v>67</v>
      </c>
      <c r="B84" s="49" t="s">
        <v>70</v>
      </c>
      <c r="C84" t="s">
        <v>169</v>
      </c>
      <c r="D84" t="s">
        <v>9</v>
      </c>
      <c r="E84" s="13"/>
      <c r="F84" s="13">
        <v>247049.80000000002</v>
      </c>
      <c r="G84" s="13">
        <v>1001</v>
      </c>
      <c r="H84" s="13">
        <f t="shared" si="2"/>
        <v>248050.80000000002</v>
      </c>
      <c r="I84" s="13"/>
      <c r="J84" s="13">
        <f t="shared" si="3"/>
        <v>248050.80000000002</v>
      </c>
      <c r="K84" s="13"/>
      <c r="L84" s="13"/>
      <c r="M84" s="13"/>
      <c r="N84" s="50"/>
      <c r="O84" s="50"/>
      <c r="P84" s="50"/>
      <c r="Q84" t="s">
        <v>46</v>
      </c>
    </row>
    <row r="85" spans="1:17" hidden="1">
      <c r="A85" s="52" t="s">
        <v>67</v>
      </c>
      <c r="B85" s="49" t="s">
        <v>70</v>
      </c>
      <c r="C85" t="s">
        <v>170</v>
      </c>
      <c r="D85" t="s">
        <v>31</v>
      </c>
      <c r="E85" s="13">
        <v>8766593.8100000005</v>
      </c>
      <c r="F85" s="13">
        <v>5728848.0200000014</v>
      </c>
      <c r="G85" s="13">
        <v>1531558</v>
      </c>
      <c r="H85" s="13">
        <f t="shared" si="2"/>
        <v>16026999.830000002</v>
      </c>
      <c r="I85" s="13"/>
      <c r="J85" s="13">
        <f t="shared" si="3"/>
        <v>16026999.830000002</v>
      </c>
      <c r="K85" s="13"/>
      <c r="L85" s="13">
        <f>+K85+J85</f>
        <v>16026999.830000002</v>
      </c>
      <c r="M85" s="13"/>
      <c r="N85" s="50"/>
      <c r="O85" s="50"/>
      <c r="P85" s="50"/>
      <c r="Q85" t="s">
        <v>41</v>
      </c>
    </row>
    <row r="86" spans="1:17" hidden="1">
      <c r="A86" s="52" t="s">
        <v>67</v>
      </c>
      <c r="B86" s="49" t="s">
        <v>70</v>
      </c>
      <c r="C86" t="s">
        <v>171</v>
      </c>
      <c r="D86" t="s">
        <v>31</v>
      </c>
      <c r="E86" s="13">
        <v>-1789.96</v>
      </c>
      <c r="F86" s="13"/>
      <c r="G86" s="13"/>
      <c r="H86" s="13">
        <f t="shared" si="2"/>
        <v>-1789.96</v>
      </c>
      <c r="I86" s="13"/>
      <c r="J86" s="13">
        <f t="shared" si="2"/>
        <v>-1789.96</v>
      </c>
      <c r="K86" s="13"/>
      <c r="L86" s="13">
        <f>+K86+J86</f>
        <v>-1789.96</v>
      </c>
      <c r="M86" s="13"/>
      <c r="N86" s="50"/>
      <c r="O86" s="50"/>
      <c r="P86" s="50"/>
      <c r="Q86" t="s">
        <v>41</v>
      </c>
    </row>
    <row r="87" spans="1:17" hidden="1">
      <c r="A87" s="52" t="s">
        <v>67</v>
      </c>
      <c r="B87" s="49" t="s">
        <v>70</v>
      </c>
      <c r="C87" t="s">
        <v>172</v>
      </c>
      <c r="D87" t="s">
        <v>9</v>
      </c>
      <c r="E87" s="13">
        <v>5809426.0599999987</v>
      </c>
      <c r="F87" s="13">
        <v>1428510.49</v>
      </c>
      <c r="G87" s="13">
        <v>4923695</v>
      </c>
      <c r="H87" s="13">
        <f t="shared" si="2"/>
        <v>12161631.549999999</v>
      </c>
      <c r="I87" s="13"/>
      <c r="J87" s="13">
        <f t="shared" si="3"/>
        <v>12161631.549999999</v>
      </c>
      <c r="K87" s="13"/>
      <c r="L87" s="13"/>
      <c r="M87" s="13"/>
      <c r="N87" s="50"/>
      <c r="O87" s="50"/>
      <c r="P87" s="50"/>
      <c r="Q87" t="s">
        <v>46</v>
      </c>
    </row>
    <row r="88" spans="1:17" hidden="1">
      <c r="A88" s="52" t="s">
        <v>67</v>
      </c>
      <c r="B88" s="49" t="s">
        <v>70</v>
      </c>
      <c r="C88" t="s">
        <v>173</v>
      </c>
      <c r="D88" t="s">
        <v>9</v>
      </c>
      <c r="E88" s="13">
        <v>313568.87000000011</v>
      </c>
      <c r="F88" s="13">
        <v>68318.14</v>
      </c>
      <c r="G88" s="13">
        <v>6178</v>
      </c>
      <c r="H88" s="13">
        <f t="shared" si="2"/>
        <v>388065.01000000013</v>
      </c>
      <c r="I88" s="13"/>
      <c r="J88" s="13">
        <f t="shared" si="3"/>
        <v>388065.01000000013</v>
      </c>
      <c r="K88" s="13"/>
      <c r="L88" s="13"/>
      <c r="M88" s="13"/>
      <c r="N88" s="50"/>
      <c r="O88" s="50"/>
      <c r="P88" s="50"/>
      <c r="Q88" t="s">
        <v>45</v>
      </c>
    </row>
    <row r="89" spans="1:17" hidden="1">
      <c r="A89" s="52" t="s">
        <v>67</v>
      </c>
      <c r="B89" s="49" t="s">
        <v>70</v>
      </c>
      <c r="C89" t="s">
        <v>174</v>
      </c>
      <c r="D89" t="s">
        <v>9</v>
      </c>
      <c r="E89" s="13"/>
      <c r="F89" s="13">
        <v>1269532.8700000001</v>
      </c>
      <c r="G89" s="13"/>
      <c r="H89" s="13">
        <f t="shared" si="2"/>
        <v>1269532.8700000001</v>
      </c>
      <c r="I89" s="13">
        <v>2000000</v>
      </c>
      <c r="J89" s="13">
        <f t="shared" si="3"/>
        <v>3269532.87</v>
      </c>
      <c r="K89" s="13"/>
      <c r="L89" s="13"/>
      <c r="M89" s="13"/>
      <c r="N89" s="50"/>
      <c r="O89" s="50"/>
      <c r="P89" s="50"/>
      <c r="Q89" t="s">
        <v>46</v>
      </c>
    </row>
    <row r="90" spans="1:17" hidden="1">
      <c r="A90" s="52" t="s">
        <v>67</v>
      </c>
      <c r="B90" s="49" t="s">
        <v>70</v>
      </c>
      <c r="C90" t="s">
        <v>175</v>
      </c>
      <c r="D90" t="s">
        <v>9</v>
      </c>
      <c r="E90" s="13"/>
      <c r="F90" s="13"/>
      <c r="G90" s="13"/>
      <c r="H90" s="13">
        <f t="shared" si="2"/>
        <v>0</v>
      </c>
      <c r="I90" s="13">
        <v>1500000</v>
      </c>
      <c r="J90" s="13">
        <f t="shared" si="3"/>
        <v>1500000</v>
      </c>
      <c r="K90" s="13"/>
      <c r="L90" s="13"/>
      <c r="M90" s="13"/>
      <c r="N90" s="50"/>
      <c r="O90" s="50"/>
      <c r="P90" s="50"/>
      <c r="Q90" t="s">
        <v>46</v>
      </c>
    </row>
    <row r="91" spans="1:17" hidden="1">
      <c r="A91" s="52" t="s">
        <v>67</v>
      </c>
      <c r="B91" s="49" t="s">
        <v>70</v>
      </c>
      <c r="C91" t="s">
        <v>176</v>
      </c>
      <c r="D91" t="s">
        <v>9</v>
      </c>
      <c r="E91" s="13">
        <v>524112.62999999989</v>
      </c>
      <c r="F91" s="13">
        <v>2715</v>
      </c>
      <c r="G91" s="13"/>
      <c r="H91" s="13">
        <f t="shared" si="2"/>
        <v>526827.62999999989</v>
      </c>
      <c r="I91" s="13"/>
      <c r="J91" s="13">
        <f t="shared" si="3"/>
        <v>526827.62999999989</v>
      </c>
      <c r="K91" s="13"/>
      <c r="L91" s="13"/>
      <c r="M91" s="13"/>
      <c r="N91" s="50"/>
      <c r="O91" s="50"/>
      <c r="P91" s="50"/>
      <c r="Q91" t="s">
        <v>46</v>
      </c>
    </row>
    <row r="92" spans="1:17" hidden="1">
      <c r="A92" s="52" t="s">
        <v>67</v>
      </c>
      <c r="B92" s="49" t="s">
        <v>70</v>
      </c>
      <c r="C92" t="s">
        <v>177</v>
      </c>
      <c r="D92" t="s">
        <v>9</v>
      </c>
      <c r="E92" s="13"/>
      <c r="F92" s="13">
        <v>139448.82000000004</v>
      </c>
      <c r="G92" s="13">
        <v>50000</v>
      </c>
      <c r="H92" s="13">
        <f t="shared" si="2"/>
        <v>189448.82000000004</v>
      </c>
      <c r="I92" s="13"/>
      <c r="J92" s="13">
        <f t="shared" si="3"/>
        <v>189448.82000000004</v>
      </c>
      <c r="K92" s="13"/>
      <c r="L92" s="13"/>
      <c r="M92" s="13"/>
      <c r="N92" s="50"/>
      <c r="O92" s="50"/>
      <c r="P92" s="50"/>
      <c r="Q92" t="s">
        <v>46</v>
      </c>
    </row>
    <row r="93" spans="1:17" hidden="1">
      <c r="A93" s="52" t="s">
        <v>67</v>
      </c>
      <c r="B93" s="49" t="s">
        <v>70</v>
      </c>
      <c r="C93" t="s">
        <v>178</v>
      </c>
      <c r="D93" t="s">
        <v>9</v>
      </c>
      <c r="E93" s="13">
        <v>43968.75</v>
      </c>
      <c r="F93" s="13">
        <v>827167.77999999991</v>
      </c>
      <c r="G93" s="13">
        <v>1179734</v>
      </c>
      <c r="H93" s="13">
        <f t="shared" si="2"/>
        <v>2050870.5299999998</v>
      </c>
      <c r="I93" s="13"/>
      <c r="J93" s="13">
        <f t="shared" si="3"/>
        <v>2050870.5299999998</v>
      </c>
      <c r="K93" s="13"/>
      <c r="L93" s="13"/>
      <c r="M93" s="13"/>
      <c r="N93" s="50"/>
      <c r="O93" s="50"/>
      <c r="P93" s="50"/>
      <c r="Q93" t="s">
        <v>46</v>
      </c>
    </row>
    <row r="94" spans="1:17" hidden="1">
      <c r="A94" s="52" t="s">
        <v>67</v>
      </c>
      <c r="B94" s="49" t="s">
        <v>70</v>
      </c>
      <c r="C94" t="s">
        <v>179</v>
      </c>
      <c r="D94" t="s">
        <v>9</v>
      </c>
      <c r="E94" s="13">
        <v>43968.75</v>
      </c>
      <c r="F94" s="13">
        <v>185388.87</v>
      </c>
      <c r="G94" s="13">
        <v>836643</v>
      </c>
      <c r="H94" s="13">
        <f t="shared" si="2"/>
        <v>1066000.6200000001</v>
      </c>
      <c r="I94" s="13"/>
      <c r="J94" s="13">
        <f t="shared" si="3"/>
        <v>1066000.6200000001</v>
      </c>
      <c r="K94" s="13"/>
      <c r="L94" s="13"/>
      <c r="M94" s="13"/>
      <c r="N94" s="50"/>
      <c r="O94" s="50"/>
      <c r="P94" s="50"/>
      <c r="Q94" t="s">
        <v>46</v>
      </c>
    </row>
    <row r="95" spans="1:17" hidden="1">
      <c r="A95" s="52" t="s">
        <v>67</v>
      </c>
      <c r="B95" s="49" t="s">
        <v>70</v>
      </c>
      <c r="C95" t="s">
        <v>180</v>
      </c>
      <c r="D95" t="s">
        <v>9</v>
      </c>
      <c r="E95" s="13"/>
      <c r="F95" s="13"/>
      <c r="G95" s="13">
        <v>750000</v>
      </c>
      <c r="H95" s="13">
        <f t="shared" si="2"/>
        <v>750000</v>
      </c>
      <c r="I95" s="13">
        <v>2500000</v>
      </c>
      <c r="J95" s="13">
        <f t="shared" si="3"/>
        <v>3250000</v>
      </c>
      <c r="K95" s="13"/>
      <c r="L95" s="13"/>
      <c r="M95" s="13"/>
      <c r="N95" s="50"/>
      <c r="O95" s="50"/>
      <c r="P95" s="50"/>
      <c r="Q95" t="s">
        <v>46</v>
      </c>
    </row>
    <row r="96" spans="1:17" hidden="1">
      <c r="A96" s="52" t="s">
        <v>67</v>
      </c>
      <c r="B96" s="49" t="s">
        <v>70</v>
      </c>
      <c r="C96" t="s">
        <v>181</v>
      </c>
      <c r="D96" t="s">
        <v>9</v>
      </c>
      <c r="E96" s="13"/>
      <c r="F96" s="13"/>
      <c r="G96" s="13">
        <v>900000</v>
      </c>
      <c r="H96" s="13">
        <f t="shared" si="2"/>
        <v>900000</v>
      </c>
      <c r="I96" s="13">
        <v>2750000</v>
      </c>
      <c r="J96" s="13">
        <f t="shared" si="3"/>
        <v>3650000</v>
      </c>
      <c r="K96" s="13"/>
      <c r="L96" s="13"/>
      <c r="M96" s="13"/>
      <c r="N96" s="50"/>
      <c r="O96" s="50"/>
      <c r="P96" s="50"/>
      <c r="Q96" t="s">
        <v>46</v>
      </c>
    </row>
    <row r="97" spans="1:17" hidden="1">
      <c r="A97" s="52" t="s">
        <v>67</v>
      </c>
      <c r="B97" s="49" t="s">
        <v>70</v>
      </c>
      <c r="C97" t="s">
        <v>182</v>
      </c>
      <c r="D97" t="s">
        <v>9</v>
      </c>
      <c r="E97" s="13"/>
      <c r="F97" s="13"/>
      <c r="G97" s="13"/>
      <c r="H97" s="13">
        <f t="shared" si="2"/>
        <v>0</v>
      </c>
      <c r="I97" s="13">
        <v>250000</v>
      </c>
      <c r="J97" s="13">
        <f t="shared" si="3"/>
        <v>250000</v>
      </c>
      <c r="K97" s="13"/>
      <c r="L97" s="13"/>
      <c r="M97" s="13"/>
      <c r="N97" s="50"/>
      <c r="O97" s="50"/>
      <c r="P97" s="50"/>
      <c r="Q97" t="s">
        <v>46</v>
      </c>
    </row>
    <row r="98" spans="1:17" hidden="1">
      <c r="A98" s="52" t="s">
        <v>67</v>
      </c>
      <c r="B98" s="49" t="s">
        <v>70</v>
      </c>
      <c r="C98" t="s">
        <v>183</v>
      </c>
      <c r="D98" t="s">
        <v>9</v>
      </c>
      <c r="E98" s="13">
        <v>5113221.1499999994</v>
      </c>
      <c r="F98" s="13">
        <v>105254.50999999989</v>
      </c>
      <c r="G98" s="13">
        <v>228780</v>
      </c>
      <c r="H98" s="13">
        <f t="shared" si="2"/>
        <v>5447255.6599999992</v>
      </c>
      <c r="I98" s="13"/>
      <c r="J98" s="13">
        <f t="shared" si="3"/>
        <v>5447255.6599999992</v>
      </c>
      <c r="K98" s="13"/>
      <c r="L98" s="13"/>
      <c r="M98" s="13"/>
      <c r="N98" s="50"/>
      <c r="O98" s="50"/>
      <c r="P98" s="50"/>
      <c r="Q98" t="s">
        <v>46</v>
      </c>
    </row>
    <row r="99" spans="1:17" hidden="1">
      <c r="A99" s="52" t="s">
        <v>67</v>
      </c>
      <c r="B99" s="49" t="s">
        <v>70</v>
      </c>
      <c r="C99" t="s">
        <v>184</v>
      </c>
      <c r="D99" t="s">
        <v>9</v>
      </c>
      <c r="E99" s="13">
        <v>-139230.03999999998</v>
      </c>
      <c r="F99" s="13">
        <v>50698.57</v>
      </c>
      <c r="G99" s="13"/>
      <c r="H99" s="13">
        <f t="shared" si="2"/>
        <v>-88531.469999999972</v>
      </c>
      <c r="I99" s="13"/>
      <c r="J99" s="13">
        <f t="shared" si="3"/>
        <v>-88531.469999999972</v>
      </c>
      <c r="K99" s="13"/>
      <c r="L99" s="13"/>
      <c r="M99" s="13"/>
      <c r="N99" s="50"/>
      <c r="O99" s="50"/>
      <c r="P99" s="50"/>
      <c r="Q99" t="s">
        <v>46</v>
      </c>
    </row>
    <row r="100" spans="1:17" hidden="1">
      <c r="A100" s="52" t="s">
        <v>67</v>
      </c>
      <c r="B100" s="49" t="s">
        <v>70</v>
      </c>
      <c r="C100" t="s">
        <v>185</v>
      </c>
      <c r="D100" t="s">
        <v>9</v>
      </c>
      <c r="E100" s="13">
        <v>-101331.06</v>
      </c>
      <c r="F100" s="13">
        <v>59671.78</v>
      </c>
      <c r="G100" s="13"/>
      <c r="H100" s="13">
        <f t="shared" si="2"/>
        <v>-41659.279999999999</v>
      </c>
      <c r="I100" s="13"/>
      <c r="J100" s="13">
        <f t="shared" si="3"/>
        <v>-41659.279999999999</v>
      </c>
      <c r="K100" s="13"/>
      <c r="L100" s="13"/>
      <c r="M100" s="13"/>
      <c r="N100" s="50"/>
      <c r="O100" s="50"/>
      <c r="P100" s="50"/>
      <c r="Q100" t="s">
        <v>46</v>
      </c>
    </row>
    <row r="101" spans="1:17" hidden="1">
      <c r="A101" s="52" t="s">
        <v>67</v>
      </c>
      <c r="B101" s="49" t="s">
        <v>70</v>
      </c>
      <c r="C101" t="s">
        <v>186</v>
      </c>
      <c r="D101" t="s">
        <v>9</v>
      </c>
      <c r="E101" s="13"/>
      <c r="F101" s="13">
        <v>716700.17000000016</v>
      </c>
      <c r="G101" s="13"/>
      <c r="H101" s="13">
        <f t="shared" si="2"/>
        <v>716700.17000000016</v>
      </c>
      <c r="I101" s="13"/>
      <c r="J101" s="13">
        <f t="shared" si="3"/>
        <v>716700.17000000016</v>
      </c>
      <c r="K101" s="13"/>
      <c r="L101" s="13"/>
      <c r="M101" s="13"/>
      <c r="N101" s="50"/>
      <c r="O101" s="50"/>
      <c r="P101" s="50"/>
      <c r="Q101" t="s">
        <v>46</v>
      </c>
    </row>
    <row r="102" spans="1:17" hidden="1">
      <c r="A102" s="52" t="s">
        <v>67</v>
      </c>
      <c r="B102" s="49" t="s">
        <v>70</v>
      </c>
      <c r="C102" t="s">
        <v>187</v>
      </c>
      <c r="D102" t="s">
        <v>9</v>
      </c>
      <c r="E102" s="13"/>
      <c r="F102" s="13"/>
      <c r="G102" s="13">
        <v>50000</v>
      </c>
      <c r="H102" s="13">
        <f t="shared" si="2"/>
        <v>50000</v>
      </c>
      <c r="I102" s="13"/>
      <c r="J102" s="13">
        <f t="shared" si="3"/>
        <v>50000</v>
      </c>
      <c r="K102" s="13"/>
      <c r="L102" s="13"/>
      <c r="M102" s="13"/>
      <c r="N102" s="50"/>
      <c r="O102" s="50"/>
      <c r="P102" s="50"/>
      <c r="Q102" t="s">
        <v>46</v>
      </c>
    </row>
    <row r="103" spans="1:17" hidden="1">
      <c r="A103" s="52" t="s">
        <v>67</v>
      </c>
      <c r="B103" s="49" t="s">
        <v>70</v>
      </c>
      <c r="C103" t="s">
        <v>188</v>
      </c>
      <c r="D103" t="s">
        <v>9</v>
      </c>
      <c r="E103" s="13"/>
      <c r="F103" s="13"/>
      <c r="G103" s="13">
        <v>1000000</v>
      </c>
      <c r="H103" s="13">
        <f t="shared" si="2"/>
        <v>1000000</v>
      </c>
      <c r="I103" s="13">
        <v>300000</v>
      </c>
      <c r="J103" s="13">
        <f t="shared" si="3"/>
        <v>1300000</v>
      </c>
      <c r="K103" s="13"/>
      <c r="L103" s="13"/>
      <c r="M103" s="13"/>
      <c r="N103" s="50"/>
      <c r="O103" s="50"/>
      <c r="P103" s="50"/>
      <c r="Q103" t="s">
        <v>45</v>
      </c>
    </row>
    <row r="104" spans="1:17" hidden="1">
      <c r="A104" s="52" t="s">
        <v>67</v>
      </c>
      <c r="B104" s="49" t="s">
        <v>70</v>
      </c>
      <c r="C104" t="s">
        <v>189</v>
      </c>
      <c r="D104" t="s">
        <v>9</v>
      </c>
      <c r="E104" s="13">
        <v>1353336.4800000004</v>
      </c>
      <c r="F104" s="13">
        <v>63407.69000000001</v>
      </c>
      <c r="G104" s="13"/>
      <c r="H104" s="13">
        <f t="shared" si="2"/>
        <v>1416744.1700000004</v>
      </c>
      <c r="I104" s="13"/>
      <c r="J104" s="13">
        <f t="shared" si="3"/>
        <v>1416744.1700000004</v>
      </c>
      <c r="K104" s="13"/>
      <c r="L104" s="13"/>
      <c r="M104" s="13"/>
      <c r="N104" s="50"/>
      <c r="O104" s="50"/>
      <c r="P104" s="50"/>
      <c r="Q104" t="s">
        <v>45</v>
      </c>
    </row>
    <row r="105" spans="1:17" hidden="1">
      <c r="A105" s="52" t="s">
        <v>67</v>
      </c>
      <c r="B105" s="49" t="s">
        <v>70</v>
      </c>
      <c r="C105" t="s">
        <v>190</v>
      </c>
      <c r="D105" t="s">
        <v>9</v>
      </c>
      <c r="E105" s="13"/>
      <c r="F105" s="13">
        <v>3749118.83</v>
      </c>
      <c r="G105" s="13">
        <v>1823234</v>
      </c>
      <c r="H105" s="13">
        <f t="shared" si="2"/>
        <v>5572352.8300000001</v>
      </c>
      <c r="I105" s="13">
        <v>5817533</v>
      </c>
      <c r="J105" s="13">
        <f t="shared" si="3"/>
        <v>11389885.83</v>
      </c>
      <c r="K105" s="13"/>
      <c r="L105" s="13"/>
      <c r="M105" s="13"/>
      <c r="N105" s="50"/>
      <c r="O105" s="50"/>
      <c r="P105" s="50"/>
      <c r="Q105" t="s">
        <v>45</v>
      </c>
    </row>
    <row r="106" spans="1:17" hidden="1">
      <c r="A106" s="52" t="s">
        <v>67</v>
      </c>
      <c r="B106" s="49" t="s">
        <v>70</v>
      </c>
      <c r="C106" t="s">
        <v>191</v>
      </c>
      <c r="D106" t="s">
        <v>9</v>
      </c>
      <c r="E106" s="13">
        <v>1489200.12</v>
      </c>
      <c r="F106" s="13">
        <v>146194.04</v>
      </c>
      <c r="G106" s="13">
        <v>3819983.0100000002</v>
      </c>
      <c r="H106" s="13">
        <f t="shared" si="2"/>
        <v>5455377.1699999999</v>
      </c>
      <c r="I106" s="13">
        <v>2244083</v>
      </c>
      <c r="J106" s="13">
        <f t="shared" si="3"/>
        <v>7699460.1699999999</v>
      </c>
      <c r="K106" s="13"/>
      <c r="L106" s="13"/>
      <c r="M106" s="13"/>
      <c r="N106" s="50"/>
      <c r="O106" s="50"/>
      <c r="P106" s="50"/>
      <c r="Q106" t="s">
        <v>45</v>
      </c>
    </row>
    <row r="107" spans="1:17" hidden="1">
      <c r="A107" s="52" t="s">
        <v>67</v>
      </c>
      <c r="B107" s="49" t="s">
        <v>70</v>
      </c>
      <c r="C107" t="s">
        <v>192</v>
      </c>
      <c r="D107" t="s">
        <v>9</v>
      </c>
      <c r="E107" s="13">
        <v>145772.41</v>
      </c>
      <c r="F107" s="13">
        <v>14308.74</v>
      </c>
      <c r="G107" s="13"/>
      <c r="H107" s="13">
        <f t="shared" si="2"/>
        <v>160081.15</v>
      </c>
      <c r="I107" s="13"/>
      <c r="J107" s="13">
        <f t="shared" si="3"/>
        <v>160081.15</v>
      </c>
      <c r="K107" s="13"/>
      <c r="L107" s="13"/>
      <c r="M107" s="13"/>
      <c r="N107" s="50"/>
      <c r="O107" s="50"/>
      <c r="P107" s="50"/>
      <c r="Q107" t="s">
        <v>45</v>
      </c>
    </row>
    <row r="108" spans="1:17" hidden="1">
      <c r="A108" s="52" t="s">
        <v>67</v>
      </c>
      <c r="B108" s="49" t="s">
        <v>70</v>
      </c>
      <c r="C108" t="s">
        <v>193</v>
      </c>
      <c r="D108" t="s">
        <v>9</v>
      </c>
      <c r="E108" s="13"/>
      <c r="F108" s="13">
        <v>276648.11999999994</v>
      </c>
      <c r="G108" s="13"/>
      <c r="H108" s="13">
        <f t="shared" si="2"/>
        <v>276648.11999999994</v>
      </c>
      <c r="I108" s="13"/>
      <c r="J108" s="13">
        <f t="shared" si="3"/>
        <v>276648.11999999994</v>
      </c>
      <c r="K108" s="13"/>
      <c r="L108" s="13"/>
      <c r="M108" s="13"/>
      <c r="N108" s="50"/>
      <c r="O108" s="50"/>
      <c r="P108" s="50"/>
      <c r="Q108" t="s">
        <v>45</v>
      </c>
    </row>
    <row r="109" spans="1:17" hidden="1">
      <c r="A109" s="52" t="s">
        <v>67</v>
      </c>
      <c r="B109" s="49" t="s">
        <v>70</v>
      </c>
      <c r="C109" t="s">
        <v>194</v>
      </c>
      <c r="D109" t="s">
        <v>9</v>
      </c>
      <c r="E109" s="13"/>
      <c r="F109" s="13">
        <v>1695881.0499999998</v>
      </c>
      <c r="G109" s="13">
        <v>1304118.95</v>
      </c>
      <c r="H109" s="13">
        <f t="shared" si="2"/>
        <v>3000000</v>
      </c>
      <c r="I109" s="13"/>
      <c r="J109" s="13">
        <f t="shared" si="3"/>
        <v>3000000</v>
      </c>
      <c r="K109" s="13"/>
      <c r="L109" s="13"/>
      <c r="M109" s="13"/>
      <c r="N109" s="50"/>
      <c r="O109" s="50"/>
      <c r="P109" s="50"/>
      <c r="Q109" t="s">
        <v>45</v>
      </c>
    </row>
    <row r="110" spans="1:17" hidden="1">
      <c r="A110" s="52" t="s">
        <v>67</v>
      </c>
      <c r="B110" s="49" t="s">
        <v>70</v>
      </c>
      <c r="C110" t="s">
        <v>195</v>
      </c>
      <c r="D110" t="s">
        <v>9</v>
      </c>
      <c r="E110" s="13">
        <v>306070.44999999995</v>
      </c>
      <c r="F110" s="13">
        <v>1701916.8799999997</v>
      </c>
      <c r="G110" s="13">
        <v>47430</v>
      </c>
      <c r="H110" s="13">
        <f t="shared" si="2"/>
        <v>2055417.3299999996</v>
      </c>
      <c r="I110" s="13"/>
      <c r="J110" s="13">
        <f t="shared" si="3"/>
        <v>2055417.3299999996</v>
      </c>
      <c r="K110" s="13"/>
      <c r="L110" s="13"/>
      <c r="M110" s="13"/>
      <c r="N110" s="50"/>
      <c r="O110" s="50"/>
      <c r="P110" s="50"/>
      <c r="Q110" t="s">
        <v>45</v>
      </c>
    </row>
    <row r="111" spans="1:17" hidden="1">
      <c r="A111" s="52" t="s">
        <v>67</v>
      </c>
      <c r="B111" s="49" t="s">
        <v>70</v>
      </c>
      <c r="C111" t="s">
        <v>196</v>
      </c>
      <c r="D111" t="s">
        <v>9</v>
      </c>
      <c r="E111" s="13">
        <v>2431660.9699999997</v>
      </c>
      <c r="F111" s="13">
        <v>3766658.9700000011</v>
      </c>
      <c r="G111" s="13">
        <v>5119044</v>
      </c>
      <c r="H111" s="13">
        <f t="shared" si="2"/>
        <v>11317363.940000001</v>
      </c>
      <c r="I111" s="13"/>
      <c r="J111" s="13">
        <f t="shared" si="3"/>
        <v>11317363.940000001</v>
      </c>
      <c r="K111" s="13"/>
      <c r="L111" s="13"/>
      <c r="M111" s="13"/>
      <c r="N111" s="50"/>
      <c r="O111" s="50"/>
      <c r="P111" s="50"/>
      <c r="Q111" t="s">
        <v>45</v>
      </c>
    </row>
    <row r="112" spans="1:17" hidden="1">
      <c r="A112" s="52" t="s">
        <v>67</v>
      </c>
      <c r="B112" s="49" t="s">
        <v>70</v>
      </c>
      <c r="C112" t="s">
        <v>197</v>
      </c>
      <c r="D112" t="s">
        <v>9</v>
      </c>
      <c r="E112" s="13"/>
      <c r="F112" s="13">
        <v>211148.37999999995</v>
      </c>
      <c r="G112" s="13">
        <v>42230</v>
      </c>
      <c r="H112" s="13">
        <f t="shared" si="2"/>
        <v>253378.37999999995</v>
      </c>
      <c r="I112" s="13"/>
      <c r="J112" s="13">
        <f t="shared" si="3"/>
        <v>253378.37999999995</v>
      </c>
      <c r="K112" s="13"/>
      <c r="L112" s="13"/>
      <c r="M112" s="13"/>
      <c r="N112" s="50"/>
      <c r="O112" s="50"/>
      <c r="P112" s="50"/>
      <c r="Q112" t="s">
        <v>45</v>
      </c>
    </row>
    <row r="113" spans="1:17" hidden="1">
      <c r="A113" s="52" t="s">
        <v>67</v>
      </c>
      <c r="B113" s="49" t="s">
        <v>70</v>
      </c>
      <c r="C113" t="s">
        <v>198</v>
      </c>
      <c r="D113" t="s">
        <v>9</v>
      </c>
      <c r="E113" s="13">
        <v>162679.00999999998</v>
      </c>
      <c r="F113" s="13">
        <v>4990740.7600000016</v>
      </c>
      <c r="G113" s="13">
        <v>232486</v>
      </c>
      <c r="H113" s="13">
        <f t="shared" si="2"/>
        <v>5385905.7700000014</v>
      </c>
      <c r="I113" s="13"/>
      <c r="J113" s="13">
        <f t="shared" si="3"/>
        <v>5385905.7700000014</v>
      </c>
      <c r="K113" s="13"/>
      <c r="L113" s="13"/>
      <c r="M113" s="13"/>
      <c r="N113" s="50"/>
      <c r="O113" s="50"/>
      <c r="P113" s="50"/>
      <c r="Q113" t="s">
        <v>45</v>
      </c>
    </row>
    <row r="114" spans="1:17" hidden="1">
      <c r="A114" s="52" t="s">
        <v>67</v>
      </c>
      <c r="B114" s="49" t="s">
        <v>70</v>
      </c>
      <c r="C114" t="s">
        <v>199</v>
      </c>
      <c r="D114" t="s">
        <v>9</v>
      </c>
      <c r="E114" s="13"/>
      <c r="F114" s="13"/>
      <c r="G114" s="13"/>
      <c r="H114" s="13">
        <f t="shared" si="2"/>
        <v>0</v>
      </c>
      <c r="I114" s="13">
        <v>1000000</v>
      </c>
      <c r="J114" s="13">
        <f t="shared" si="3"/>
        <v>1000000</v>
      </c>
      <c r="K114" s="13"/>
      <c r="L114" s="13"/>
      <c r="M114" s="13"/>
      <c r="N114" s="50"/>
      <c r="O114" s="50"/>
      <c r="P114" s="50"/>
      <c r="Q114" t="s">
        <v>45</v>
      </c>
    </row>
    <row r="115" spans="1:17" hidden="1">
      <c r="A115" s="52" t="s">
        <v>67</v>
      </c>
      <c r="B115" s="49" t="s">
        <v>70</v>
      </c>
      <c r="C115" t="s">
        <v>200</v>
      </c>
      <c r="D115" t="s">
        <v>9</v>
      </c>
      <c r="E115" s="13">
        <v>258300.19999999998</v>
      </c>
      <c r="F115" s="13">
        <v>745061.5</v>
      </c>
      <c r="G115" s="13">
        <v>497319</v>
      </c>
      <c r="H115" s="13">
        <f t="shared" si="2"/>
        <v>1500680.7</v>
      </c>
      <c r="I115" s="13">
        <v>806115</v>
      </c>
      <c r="J115" s="13">
        <f t="shared" si="3"/>
        <v>2306795.7000000002</v>
      </c>
      <c r="K115" s="13"/>
      <c r="L115" s="13"/>
      <c r="M115" s="13"/>
      <c r="N115" s="50"/>
      <c r="O115" s="50"/>
      <c r="P115" s="50"/>
      <c r="Q115" t="s">
        <v>45</v>
      </c>
    </row>
    <row r="116" spans="1:17" hidden="1">
      <c r="A116" s="52" t="s">
        <v>67</v>
      </c>
      <c r="B116" s="49" t="s">
        <v>70</v>
      </c>
      <c r="C116" t="s">
        <v>201</v>
      </c>
      <c r="D116" t="s">
        <v>9</v>
      </c>
      <c r="E116" s="13"/>
      <c r="F116" s="13">
        <v>900600.69000000018</v>
      </c>
      <c r="G116" s="13"/>
      <c r="H116" s="13">
        <f t="shared" si="2"/>
        <v>900600.69000000018</v>
      </c>
      <c r="I116" s="13"/>
      <c r="J116" s="13">
        <f t="shared" si="3"/>
        <v>900600.69000000018</v>
      </c>
      <c r="K116" s="13"/>
      <c r="L116" s="13"/>
      <c r="M116" s="13"/>
      <c r="N116" s="50"/>
      <c r="O116" s="50"/>
      <c r="P116" s="50"/>
      <c r="Q116" t="s">
        <v>45</v>
      </c>
    </row>
    <row r="117" spans="1:17" hidden="1">
      <c r="A117" s="52" t="s">
        <v>67</v>
      </c>
      <c r="B117" s="49" t="s">
        <v>70</v>
      </c>
      <c r="C117" t="s">
        <v>202</v>
      </c>
      <c r="D117" t="s">
        <v>9</v>
      </c>
      <c r="E117" s="13"/>
      <c r="F117" s="13"/>
      <c r="G117" s="13">
        <v>50000</v>
      </c>
      <c r="H117" s="13">
        <f t="shared" si="2"/>
        <v>50000</v>
      </c>
      <c r="I117" s="13">
        <v>200000</v>
      </c>
      <c r="J117" s="13">
        <f t="shared" si="3"/>
        <v>250000</v>
      </c>
      <c r="K117" s="13"/>
      <c r="L117" s="13"/>
      <c r="M117" s="13"/>
      <c r="N117" s="50"/>
      <c r="O117" s="50"/>
      <c r="P117" s="50"/>
      <c r="Q117" t="s">
        <v>46</v>
      </c>
    </row>
    <row r="118" spans="1:17" hidden="1">
      <c r="A118" s="52" t="s">
        <v>67</v>
      </c>
      <c r="B118" s="49" t="s">
        <v>70</v>
      </c>
      <c r="C118" t="s">
        <v>203</v>
      </c>
      <c r="D118" t="s">
        <v>9</v>
      </c>
      <c r="E118" s="13"/>
      <c r="F118" s="13"/>
      <c r="G118" s="13">
        <v>50000</v>
      </c>
      <c r="H118" s="13">
        <f t="shared" si="2"/>
        <v>50000</v>
      </c>
      <c r="I118" s="13"/>
      <c r="J118" s="13">
        <f t="shared" si="3"/>
        <v>50000</v>
      </c>
      <c r="K118" s="13"/>
      <c r="L118" s="13"/>
      <c r="M118" s="13"/>
      <c r="N118" s="50"/>
      <c r="O118" s="50"/>
      <c r="P118" s="50"/>
      <c r="Q118" t="s">
        <v>46</v>
      </c>
    </row>
    <row r="119" spans="1:17" hidden="1">
      <c r="A119" s="52" t="s">
        <v>67</v>
      </c>
      <c r="B119" s="49" t="s">
        <v>70</v>
      </c>
      <c r="C119" t="s">
        <v>204</v>
      </c>
      <c r="D119" t="s">
        <v>9</v>
      </c>
      <c r="E119" s="13"/>
      <c r="F119" s="13"/>
      <c r="G119" s="13"/>
      <c r="H119" s="13">
        <f t="shared" si="2"/>
        <v>0</v>
      </c>
      <c r="I119" s="13">
        <v>850000</v>
      </c>
      <c r="J119" s="13">
        <f t="shared" si="3"/>
        <v>850000</v>
      </c>
      <c r="K119" s="13"/>
      <c r="L119" s="13"/>
      <c r="M119" s="13"/>
      <c r="N119" s="50"/>
      <c r="O119" s="50"/>
      <c r="P119" s="50"/>
      <c r="Q119" t="s">
        <v>45</v>
      </c>
    </row>
    <row r="120" spans="1:17" hidden="1">
      <c r="A120" s="52" t="s">
        <v>67</v>
      </c>
      <c r="B120" s="49" t="s">
        <v>70</v>
      </c>
      <c r="C120" t="s">
        <v>205</v>
      </c>
      <c r="D120" t="s">
        <v>9</v>
      </c>
      <c r="E120" s="13">
        <v>1322313.1600000001</v>
      </c>
      <c r="F120" s="13">
        <v>282092.14000000007</v>
      </c>
      <c r="G120" s="13"/>
      <c r="H120" s="13">
        <f t="shared" si="2"/>
        <v>1604405.3000000003</v>
      </c>
      <c r="I120" s="13"/>
      <c r="J120" s="13">
        <f t="shared" si="3"/>
        <v>1604405.3000000003</v>
      </c>
      <c r="K120" s="13"/>
      <c r="L120" s="13"/>
      <c r="M120" s="13"/>
      <c r="N120" s="50"/>
      <c r="O120" s="50"/>
      <c r="P120" s="50"/>
      <c r="Q120" t="s">
        <v>45</v>
      </c>
    </row>
    <row r="121" spans="1:17" hidden="1">
      <c r="A121" s="52" t="s">
        <v>67</v>
      </c>
      <c r="B121" s="49" t="s">
        <v>70</v>
      </c>
      <c r="C121" t="s">
        <v>206</v>
      </c>
      <c r="D121" t="s">
        <v>9</v>
      </c>
      <c r="E121" s="13"/>
      <c r="F121" s="13">
        <v>130850.12</v>
      </c>
      <c r="G121" s="13">
        <v>500000</v>
      </c>
      <c r="H121" s="13">
        <f t="shared" si="2"/>
        <v>630850.12</v>
      </c>
      <c r="I121" s="13"/>
      <c r="J121" s="13">
        <f t="shared" si="3"/>
        <v>630850.12</v>
      </c>
      <c r="K121" s="13"/>
      <c r="L121" s="13"/>
      <c r="M121" s="13"/>
      <c r="N121" s="50"/>
      <c r="O121" s="50"/>
      <c r="P121" s="50"/>
      <c r="Q121" t="s">
        <v>45</v>
      </c>
    </row>
    <row r="122" spans="1:17" hidden="1">
      <c r="A122" s="52" t="s">
        <v>67</v>
      </c>
      <c r="B122" s="49" t="s">
        <v>70</v>
      </c>
      <c r="C122" t="s">
        <v>207</v>
      </c>
      <c r="D122" t="s">
        <v>9</v>
      </c>
      <c r="E122" s="13">
        <v>2436.9699999999998</v>
      </c>
      <c r="F122" s="13"/>
      <c r="G122" s="13"/>
      <c r="H122" s="13">
        <f t="shared" si="2"/>
        <v>2436.9699999999998</v>
      </c>
      <c r="I122" s="13"/>
      <c r="J122" s="13">
        <f t="shared" si="3"/>
        <v>2436.9699999999998</v>
      </c>
      <c r="K122" s="13"/>
      <c r="L122" s="13"/>
      <c r="M122" s="13"/>
      <c r="N122" s="50"/>
      <c r="O122" s="50"/>
      <c r="P122" s="50"/>
      <c r="Q122" t="s">
        <v>46</v>
      </c>
    </row>
    <row r="123" spans="1:17" hidden="1">
      <c r="A123" s="52" t="s">
        <v>67</v>
      </c>
      <c r="B123" s="49" t="s">
        <v>70</v>
      </c>
      <c r="C123" t="s">
        <v>208</v>
      </c>
      <c r="D123" t="s">
        <v>9</v>
      </c>
      <c r="E123" s="13">
        <v>44166.920000000006</v>
      </c>
      <c r="F123" s="13"/>
      <c r="G123" s="13"/>
      <c r="H123" s="13">
        <f t="shared" si="2"/>
        <v>44166.920000000006</v>
      </c>
      <c r="I123" s="13"/>
      <c r="J123" s="13">
        <f t="shared" si="3"/>
        <v>44166.920000000006</v>
      </c>
      <c r="K123" s="13"/>
      <c r="L123" s="13"/>
      <c r="M123" s="13"/>
      <c r="N123" s="50"/>
      <c r="O123" s="50"/>
      <c r="P123" s="50"/>
      <c r="Q123" t="s">
        <v>45</v>
      </c>
    </row>
    <row r="124" spans="1:17" hidden="1">
      <c r="A124" s="52" t="s">
        <v>67</v>
      </c>
      <c r="B124" s="49" t="s">
        <v>70</v>
      </c>
      <c r="C124" t="s">
        <v>209</v>
      </c>
      <c r="D124" t="s">
        <v>9</v>
      </c>
      <c r="E124" s="13">
        <v>779127.95</v>
      </c>
      <c r="F124" s="13">
        <v>267421.99</v>
      </c>
      <c r="G124" s="13"/>
      <c r="H124" s="13">
        <f t="shared" si="2"/>
        <v>1046549.94</v>
      </c>
      <c r="I124" s="13"/>
      <c r="J124" s="13">
        <f t="shared" si="3"/>
        <v>1046549.94</v>
      </c>
      <c r="K124" s="13"/>
      <c r="L124" s="13"/>
      <c r="M124" s="13"/>
      <c r="N124" s="50"/>
      <c r="O124" s="50"/>
      <c r="P124" s="50"/>
      <c r="Q124" t="s">
        <v>45</v>
      </c>
    </row>
    <row r="125" spans="1:17" hidden="1">
      <c r="A125" s="52" t="s">
        <v>67</v>
      </c>
      <c r="B125" s="49" t="s">
        <v>70</v>
      </c>
      <c r="C125" t="s">
        <v>210</v>
      </c>
      <c r="D125" t="s">
        <v>9</v>
      </c>
      <c r="E125" s="13">
        <v>970095.30999999994</v>
      </c>
      <c r="F125" s="13">
        <v>-60051.730000000054</v>
      </c>
      <c r="G125" s="13"/>
      <c r="H125" s="13">
        <f t="shared" si="2"/>
        <v>910043.57999999984</v>
      </c>
      <c r="I125" s="13"/>
      <c r="J125" s="13">
        <f t="shared" si="3"/>
        <v>910043.57999999984</v>
      </c>
      <c r="K125" s="13"/>
      <c r="L125" s="13"/>
      <c r="M125" s="13"/>
      <c r="N125" s="50"/>
      <c r="O125" s="50"/>
      <c r="P125" s="50"/>
      <c r="Q125" t="s">
        <v>45</v>
      </c>
    </row>
    <row r="126" spans="1:17" hidden="1">
      <c r="A126" s="52" t="s">
        <v>67</v>
      </c>
      <c r="B126" s="49" t="s">
        <v>70</v>
      </c>
      <c r="C126" t="s">
        <v>211</v>
      </c>
      <c r="D126" t="s">
        <v>9</v>
      </c>
      <c r="E126" s="13"/>
      <c r="F126" s="13"/>
      <c r="G126" s="13">
        <v>200000</v>
      </c>
      <c r="H126" s="13">
        <f t="shared" si="2"/>
        <v>200000</v>
      </c>
      <c r="I126" s="13">
        <v>383333</v>
      </c>
      <c r="J126" s="13">
        <f t="shared" si="3"/>
        <v>583333</v>
      </c>
      <c r="K126" s="13"/>
      <c r="L126" s="13"/>
      <c r="M126" s="13"/>
      <c r="N126" s="50"/>
      <c r="O126" s="50"/>
      <c r="P126" s="50"/>
      <c r="Q126" t="s">
        <v>45</v>
      </c>
    </row>
    <row r="127" spans="1:17" hidden="1">
      <c r="A127" s="52" t="s">
        <v>67</v>
      </c>
      <c r="B127" s="49" t="s">
        <v>70</v>
      </c>
      <c r="C127" t="s">
        <v>212</v>
      </c>
      <c r="D127" t="s">
        <v>9</v>
      </c>
      <c r="E127" s="13">
        <v>1086978.29</v>
      </c>
      <c r="F127" s="13">
        <v>-38687.71000000005</v>
      </c>
      <c r="G127" s="13"/>
      <c r="H127" s="13">
        <f t="shared" si="2"/>
        <v>1048290.58</v>
      </c>
      <c r="I127" s="13"/>
      <c r="J127" s="13">
        <f t="shared" si="3"/>
        <v>1048290.58</v>
      </c>
      <c r="K127" s="13"/>
      <c r="L127" s="13"/>
      <c r="M127" s="13"/>
      <c r="N127" s="50"/>
      <c r="O127" s="50"/>
      <c r="P127" s="50"/>
      <c r="Q127" t="s">
        <v>45</v>
      </c>
    </row>
    <row r="128" spans="1:17" hidden="1">
      <c r="A128" s="52" t="s">
        <v>67</v>
      </c>
      <c r="B128" s="49" t="s">
        <v>70</v>
      </c>
      <c r="C128" t="s">
        <v>213</v>
      </c>
      <c r="D128" t="s">
        <v>9</v>
      </c>
      <c r="E128" s="13"/>
      <c r="F128" s="13"/>
      <c r="G128" s="13">
        <v>200000</v>
      </c>
      <c r="H128" s="13">
        <f t="shared" si="2"/>
        <v>200000</v>
      </c>
      <c r="I128" s="13">
        <v>383333</v>
      </c>
      <c r="J128" s="13">
        <f t="shared" si="3"/>
        <v>583333</v>
      </c>
      <c r="K128" s="13"/>
      <c r="L128" s="13"/>
      <c r="M128" s="13"/>
      <c r="N128" s="50"/>
      <c r="O128" s="50"/>
      <c r="P128" s="50"/>
      <c r="Q128" t="s">
        <v>45</v>
      </c>
    </row>
    <row r="129" spans="1:17" hidden="1">
      <c r="A129" s="52" t="s">
        <v>67</v>
      </c>
      <c r="B129" s="49" t="s">
        <v>70</v>
      </c>
      <c r="C129" t="s">
        <v>214</v>
      </c>
      <c r="D129" t="s">
        <v>9</v>
      </c>
      <c r="E129" s="13"/>
      <c r="F129" s="13"/>
      <c r="G129" s="13">
        <v>200000</v>
      </c>
      <c r="H129" s="13">
        <f t="shared" si="2"/>
        <v>200000</v>
      </c>
      <c r="I129" s="13">
        <v>383333</v>
      </c>
      <c r="J129" s="13">
        <f t="shared" si="3"/>
        <v>583333</v>
      </c>
      <c r="K129" s="13"/>
      <c r="L129" s="13"/>
      <c r="M129" s="13"/>
      <c r="N129" s="50"/>
      <c r="O129" s="50"/>
      <c r="P129" s="50"/>
      <c r="Q129" t="s">
        <v>45</v>
      </c>
    </row>
    <row r="130" spans="1:17" hidden="1">
      <c r="A130" s="52" t="s">
        <v>67</v>
      </c>
      <c r="B130" s="49" t="s">
        <v>70</v>
      </c>
      <c r="C130" t="s">
        <v>215</v>
      </c>
      <c r="D130" t="s">
        <v>9</v>
      </c>
      <c r="E130" s="13">
        <v>102343.83999999998</v>
      </c>
      <c r="F130" s="13">
        <v>1287.94</v>
      </c>
      <c r="G130" s="13"/>
      <c r="H130" s="13">
        <f t="shared" ref="H130:H193" si="4">+SUM(E130:G130)</f>
        <v>103631.77999999998</v>
      </c>
      <c r="I130" s="13"/>
      <c r="J130" s="13">
        <f t="shared" ref="J130:J193" si="5">+I130+H130</f>
        <v>103631.77999999998</v>
      </c>
      <c r="K130" s="13"/>
      <c r="L130" s="13"/>
      <c r="M130" s="13"/>
      <c r="N130" s="50"/>
      <c r="O130" s="50"/>
      <c r="P130" s="50"/>
      <c r="Q130" t="s">
        <v>45</v>
      </c>
    </row>
    <row r="131" spans="1:17" hidden="1">
      <c r="A131" s="52" t="s">
        <v>67</v>
      </c>
      <c r="B131" s="49" t="s">
        <v>70</v>
      </c>
      <c r="C131" t="s">
        <v>216</v>
      </c>
      <c r="D131" t="s">
        <v>9</v>
      </c>
      <c r="E131" s="13"/>
      <c r="F131" s="13">
        <v>216865.06</v>
      </c>
      <c r="G131" s="13">
        <v>106322</v>
      </c>
      <c r="H131" s="13">
        <f t="shared" si="4"/>
        <v>323187.06</v>
      </c>
      <c r="I131" s="13"/>
      <c r="J131" s="13">
        <f t="shared" si="5"/>
        <v>323187.06</v>
      </c>
      <c r="K131" s="13"/>
      <c r="L131" s="13"/>
      <c r="M131" s="13"/>
      <c r="N131" s="50"/>
      <c r="O131" s="50"/>
      <c r="P131" s="50"/>
      <c r="Q131" t="s">
        <v>45</v>
      </c>
    </row>
    <row r="132" spans="1:17" hidden="1">
      <c r="A132" s="52" t="s">
        <v>67</v>
      </c>
      <c r="B132" s="49" t="s">
        <v>70</v>
      </c>
      <c r="C132" t="s">
        <v>217</v>
      </c>
      <c r="D132" t="s">
        <v>9</v>
      </c>
      <c r="E132" s="13">
        <v>619076.12000000011</v>
      </c>
      <c r="F132" s="13">
        <v>247421.07000000004</v>
      </c>
      <c r="G132" s="13">
        <v>26375</v>
      </c>
      <c r="H132" s="13">
        <f t="shared" si="4"/>
        <v>892872.19000000018</v>
      </c>
      <c r="I132" s="13"/>
      <c r="J132" s="13">
        <f t="shared" si="5"/>
        <v>892872.19000000018</v>
      </c>
      <c r="K132" s="13"/>
      <c r="L132" s="13"/>
      <c r="M132" s="13"/>
      <c r="N132" s="50"/>
      <c r="O132" s="50"/>
      <c r="P132" s="50"/>
      <c r="Q132" t="s">
        <v>45</v>
      </c>
    </row>
    <row r="133" spans="1:17" hidden="1">
      <c r="A133" s="52" t="s">
        <v>67</v>
      </c>
      <c r="B133" s="49" t="s">
        <v>70</v>
      </c>
      <c r="C133" t="s">
        <v>218</v>
      </c>
      <c r="D133" t="s">
        <v>9</v>
      </c>
      <c r="E133" s="13"/>
      <c r="F133" s="13">
        <v>278224.59000000003</v>
      </c>
      <c r="G133" s="13">
        <v>862977</v>
      </c>
      <c r="H133" s="13">
        <f t="shared" si="4"/>
        <v>1141201.5900000001</v>
      </c>
      <c r="I133" s="13"/>
      <c r="J133" s="13">
        <f t="shared" si="5"/>
        <v>1141201.5900000001</v>
      </c>
      <c r="K133" s="13"/>
      <c r="L133" s="13"/>
      <c r="M133" s="13"/>
      <c r="N133" s="50"/>
      <c r="O133" s="50"/>
      <c r="P133" s="50"/>
      <c r="Q133" t="s">
        <v>45</v>
      </c>
    </row>
    <row r="134" spans="1:17" hidden="1">
      <c r="A134" s="52" t="s">
        <v>67</v>
      </c>
      <c r="B134" s="49" t="s">
        <v>70</v>
      </c>
      <c r="C134" t="s">
        <v>219</v>
      </c>
      <c r="D134" t="s">
        <v>9</v>
      </c>
      <c r="E134" s="13">
        <v>264245.78000000003</v>
      </c>
      <c r="F134" s="13">
        <v>751819.24000000011</v>
      </c>
      <c r="G134" s="13">
        <v>129720</v>
      </c>
      <c r="H134" s="13">
        <f t="shared" si="4"/>
        <v>1145785.02</v>
      </c>
      <c r="I134" s="13"/>
      <c r="J134" s="13">
        <f t="shared" si="5"/>
        <v>1145785.02</v>
      </c>
      <c r="K134" s="13"/>
      <c r="L134" s="13"/>
      <c r="M134" s="13"/>
      <c r="N134" s="50"/>
      <c r="O134" s="50"/>
      <c r="P134" s="50"/>
      <c r="Q134" t="s">
        <v>45</v>
      </c>
    </row>
    <row r="135" spans="1:17" hidden="1">
      <c r="A135" s="52" t="s">
        <v>67</v>
      </c>
      <c r="B135" s="49" t="s">
        <v>70</v>
      </c>
      <c r="C135" t="s">
        <v>220</v>
      </c>
      <c r="D135" t="s">
        <v>9</v>
      </c>
      <c r="E135" s="13"/>
      <c r="F135" s="13">
        <v>368424.7900000001</v>
      </c>
      <c r="G135" s="13"/>
      <c r="H135" s="13">
        <f t="shared" si="4"/>
        <v>368424.7900000001</v>
      </c>
      <c r="I135" s="13"/>
      <c r="J135" s="13">
        <f t="shared" si="5"/>
        <v>368424.7900000001</v>
      </c>
      <c r="K135" s="13"/>
      <c r="L135" s="13"/>
      <c r="M135" s="13"/>
      <c r="N135" s="50"/>
      <c r="O135" s="50"/>
      <c r="P135" s="50"/>
      <c r="Q135" t="s">
        <v>45</v>
      </c>
    </row>
    <row r="136" spans="1:17" hidden="1">
      <c r="A136" s="52" t="s">
        <v>67</v>
      </c>
      <c r="B136" s="49" t="s">
        <v>70</v>
      </c>
      <c r="C136" t="s">
        <v>221</v>
      </c>
      <c r="D136" t="s">
        <v>9</v>
      </c>
      <c r="E136" s="13"/>
      <c r="F136" s="13">
        <v>249356.08000000002</v>
      </c>
      <c r="G136" s="13">
        <v>1270801</v>
      </c>
      <c r="H136" s="13">
        <f t="shared" si="4"/>
        <v>1520157.08</v>
      </c>
      <c r="I136" s="13"/>
      <c r="J136" s="13">
        <f t="shared" si="5"/>
        <v>1520157.08</v>
      </c>
      <c r="K136" s="13"/>
      <c r="L136" s="13"/>
      <c r="M136" s="13"/>
      <c r="N136" s="50"/>
      <c r="O136" s="50"/>
      <c r="P136" s="50"/>
      <c r="Q136" t="s">
        <v>45</v>
      </c>
    </row>
    <row r="137" spans="1:17" hidden="1">
      <c r="A137" s="52" t="s">
        <v>67</v>
      </c>
      <c r="B137" s="49" t="s">
        <v>70</v>
      </c>
      <c r="C137" t="s">
        <v>222</v>
      </c>
      <c r="D137" t="s">
        <v>9</v>
      </c>
      <c r="E137" s="13">
        <v>-90880.830000000089</v>
      </c>
      <c r="F137" s="13"/>
      <c r="G137" s="13"/>
      <c r="H137" s="13">
        <f t="shared" si="4"/>
        <v>-90880.830000000089</v>
      </c>
      <c r="I137" s="13"/>
      <c r="J137" s="13">
        <f t="shared" si="5"/>
        <v>-90880.830000000089</v>
      </c>
      <c r="K137" s="13"/>
      <c r="L137" s="13"/>
      <c r="M137" s="13"/>
      <c r="N137" s="50"/>
      <c r="O137" s="50"/>
      <c r="P137" s="50"/>
      <c r="Q137" t="s">
        <v>45</v>
      </c>
    </row>
    <row r="138" spans="1:17" hidden="1">
      <c r="A138" s="52" t="s">
        <v>67</v>
      </c>
      <c r="B138" s="49" t="s">
        <v>70</v>
      </c>
      <c r="C138" t="s">
        <v>223</v>
      </c>
      <c r="D138" t="s">
        <v>9</v>
      </c>
      <c r="E138" s="13"/>
      <c r="F138" s="13">
        <v>363739.58999999997</v>
      </c>
      <c r="G138" s="13"/>
      <c r="H138" s="13">
        <f t="shared" si="4"/>
        <v>363739.58999999997</v>
      </c>
      <c r="I138" s="13"/>
      <c r="J138" s="13">
        <f t="shared" si="5"/>
        <v>363739.58999999997</v>
      </c>
      <c r="K138" s="13"/>
      <c r="L138" s="13"/>
      <c r="M138" s="13"/>
      <c r="N138" s="50"/>
      <c r="O138" s="50"/>
      <c r="P138" s="50"/>
      <c r="Q138" t="s">
        <v>45</v>
      </c>
    </row>
    <row r="139" spans="1:17" hidden="1">
      <c r="A139" s="52" t="s">
        <v>67</v>
      </c>
      <c r="B139" s="49" t="s">
        <v>70</v>
      </c>
      <c r="C139" t="s">
        <v>224</v>
      </c>
      <c r="D139" t="s">
        <v>9</v>
      </c>
      <c r="E139" s="13">
        <v>264001.14</v>
      </c>
      <c r="F139" s="13">
        <v>647590.75999999966</v>
      </c>
      <c r="G139" s="13">
        <v>135673</v>
      </c>
      <c r="H139" s="13">
        <f t="shared" si="4"/>
        <v>1047264.8999999997</v>
      </c>
      <c r="I139" s="13"/>
      <c r="J139" s="13">
        <f t="shared" si="5"/>
        <v>1047264.8999999997</v>
      </c>
      <c r="K139" s="13"/>
      <c r="L139" s="13"/>
      <c r="M139" s="13"/>
      <c r="N139" s="50"/>
      <c r="O139" s="50"/>
      <c r="P139" s="50"/>
      <c r="Q139" t="s">
        <v>45</v>
      </c>
    </row>
    <row r="140" spans="1:17" hidden="1">
      <c r="A140" s="52" t="s">
        <v>67</v>
      </c>
      <c r="B140" s="49" t="s">
        <v>70</v>
      </c>
      <c r="C140" t="s">
        <v>225</v>
      </c>
      <c r="D140" t="s">
        <v>9</v>
      </c>
      <c r="E140" s="13"/>
      <c r="F140" s="13">
        <v>361524.14999999997</v>
      </c>
      <c r="G140" s="13"/>
      <c r="H140" s="13">
        <f t="shared" si="4"/>
        <v>361524.14999999997</v>
      </c>
      <c r="I140" s="13"/>
      <c r="J140" s="13">
        <f t="shared" si="5"/>
        <v>361524.14999999997</v>
      </c>
      <c r="K140" s="13"/>
      <c r="L140" s="13"/>
      <c r="M140" s="13"/>
      <c r="N140" s="50"/>
      <c r="O140" s="50"/>
      <c r="P140" s="50"/>
      <c r="Q140" t="s">
        <v>45</v>
      </c>
    </row>
    <row r="141" spans="1:17" hidden="1">
      <c r="A141" s="52" t="s">
        <v>67</v>
      </c>
      <c r="B141" s="49" t="s">
        <v>70</v>
      </c>
      <c r="C141" t="s">
        <v>226</v>
      </c>
      <c r="D141" t="s">
        <v>9</v>
      </c>
      <c r="E141" s="13">
        <v>263984.07</v>
      </c>
      <c r="F141" s="13">
        <v>644802.46000000008</v>
      </c>
      <c r="G141" s="13">
        <v>129805</v>
      </c>
      <c r="H141" s="13">
        <f t="shared" si="4"/>
        <v>1038591.53</v>
      </c>
      <c r="I141" s="13"/>
      <c r="J141" s="13">
        <f t="shared" si="5"/>
        <v>1038591.53</v>
      </c>
      <c r="K141" s="13"/>
      <c r="L141" s="13"/>
      <c r="M141" s="13"/>
      <c r="N141" s="50"/>
      <c r="O141" s="50"/>
      <c r="P141" s="50"/>
      <c r="Q141" t="s">
        <v>45</v>
      </c>
    </row>
    <row r="142" spans="1:17" hidden="1">
      <c r="A142" s="52" t="s">
        <v>67</v>
      </c>
      <c r="B142" s="49" t="s">
        <v>70</v>
      </c>
      <c r="C142" t="s">
        <v>227</v>
      </c>
      <c r="D142" t="s">
        <v>9</v>
      </c>
      <c r="E142" s="13"/>
      <c r="F142" s="13">
        <v>386800.11000000004</v>
      </c>
      <c r="G142" s="13"/>
      <c r="H142" s="13">
        <f t="shared" si="4"/>
        <v>386800.11000000004</v>
      </c>
      <c r="I142" s="13"/>
      <c r="J142" s="13">
        <f t="shared" si="5"/>
        <v>386800.11000000004</v>
      </c>
      <c r="K142" s="13"/>
      <c r="L142" s="13"/>
      <c r="M142" s="13"/>
      <c r="N142" s="50"/>
      <c r="O142" s="50"/>
      <c r="P142" s="50"/>
      <c r="Q142" t="s">
        <v>45</v>
      </c>
    </row>
    <row r="143" spans="1:17" hidden="1">
      <c r="A143" s="52" t="s">
        <v>67</v>
      </c>
      <c r="B143" s="49" t="s">
        <v>70</v>
      </c>
      <c r="C143" t="s">
        <v>228</v>
      </c>
      <c r="D143" t="s">
        <v>9</v>
      </c>
      <c r="E143" s="13"/>
      <c r="F143" s="13">
        <v>-4.1700000000000159</v>
      </c>
      <c r="G143" s="13"/>
      <c r="H143" s="13">
        <f t="shared" si="4"/>
        <v>-4.1700000000000159</v>
      </c>
      <c r="I143" s="13"/>
      <c r="J143" s="13">
        <f t="shared" si="5"/>
        <v>-4.1700000000000159</v>
      </c>
      <c r="K143" s="13"/>
      <c r="L143" s="13"/>
      <c r="M143" s="13"/>
      <c r="N143" s="50"/>
      <c r="O143" s="50"/>
      <c r="P143" s="50"/>
      <c r="Q143" t="s">
        <v>45</v>
      </c>
    </row>
    <row r="144" spans="1:17" hidden="1">
      <c r="A144" s="52" t="s">
        <v>67</v>
      </c>
      <c r="B144" s="49" t="s">
        <v>70</v>
      </c>
      <c r="C144" t="s">
        <v>229</v>
      </c>
      <c r="D144" t="s">
        <v>9</v>
      </c>
      <c r="E144" s="13"/>
      <c r="F144" s="13"/>
      <c r="G144" s="13">
        <v>130000</v>
      </c>
      <c r="H144" s="13">
        <f t="shared" si="4"/>
        <v>130000</v>
      </c>
      <c r="I144" s="13"/>
      <c r="J144" s="13">
        <f t="shared" si="5"/>
        <v>130000</v>
      </c>
      <c r="K144" s="13"/>
      <c r="L144" s="13"/>
      <c r="M144" s="13"/>
      <c r="N144" s="50"/>
      <c r="O144" s="50"/>
      <c r="P144" s="50"/>
      <c r="Q144" t="s">
        <v>45</v>
      </c>
    </row>
    <row r="145" spans="1:17" hidden="1">
      <c r="A145" s="52" t="s">
        <v>67</v>
      </c>
      <c r="B145" s="49" t="s">
        <v>70</v>
      </c>
      <c r="C145" t="s">
        <v>230</v>
      </c>
      <c r="D145" t="s">
        <v>9</v>
      </c>
      <c r="E145" s="13"/>
      <c r="F145" s="13"/>
      <c r="G145" s="13">
        <v>180000</v>
      </c>
      <c r="H145" s="13">
        <f t="shared" si="4"/>
        <v>180000</v>
      </c>
      <c r="I145" s="13"/>
      <c r="J145" s="13">
        <f t="shared" si="5"/>
        <v>180000</v>
      </c>
      <c r="K145" s="13"/>
      <c r="L145" s="13"/>
      <c r="M145" s="13"/>
      <c r="N145" s="50"/>
      <c r="O145" s="50"/>
      <c r="P145" s="50"/>
      <c r="Q145" t="s">
        <v>45</v>
      </c>
    </row>
    <row r="146" spans="1:17" hidden="1">
      <c r="A146" s="52" t="s">
        <v>67</v>
      </c>
      <c r="B146" s="49" t="s">
        <v>70</v>
      </c>
      <c r="C146" t="s">
        <v>231</v>
      </c>
      <c r="D146" t="s">
        <v>9</v>
      </c>
      <c r="E146" s="13">
        <v>5002.1000000000004</v>
      </c>
      <c r="F146" s="13">
        <v>615818.18999999983</v>
      </c>
      <c r="G146" s="13">
        <v>3391953</v>
      </c>
      <c r="H146" s="13">
        <f t="shared" si="4"/>
        <v>4012773.29</v>
      </c>
      <c r="I146" s="13"/>
      <c r="J146" s="13">
        <f t="shared" si="5"/>
        <v>4012773.29</v>
      </c>
      <c r="K146" s="13"/>
      <c r="L146" s="13"/>
      <c r="M146" s="13"/>
      <c r="N146" s="50"/>
      <c r="O146" s="50"/>
      <c r="P146" s="50"/>
      <c r="Q146" t="s">
        <v>45</v>
      </c>
    </row>
    <row r="147" spans="1:17" hidden="1">
      <c r="A147" s="52" t="s">
        <v>67</v>
      </c>
      <c r="B147" s="49" t="s">
        <v>70</v>
      </c>
      <c r="C147" t="s">
        <v>232</v>
      </c>
      <c r="D147" t="s">
        <v>9</v>
      </c>
      <c r="E147" s="13"/>
      <c r="F147" s="13">
        <v>223949.56</v>
      </c>
      <c r="G147" s="13">
        <v>1001</v>
      </c>
      <c r="H147" s="13">
        <f t="shared" si="4"/>
        <v>224950.56</v>
      </c>
      <c r="I147" s="13"/>
      <c r="J147" s="13">
        <f t="shared" si="5"/>
        <v>224950.56</v>
      </c>
      <c r="K147" s="13"/>
      <c r="L147" s="13"/>
      <c r="M147" s="13"/>
      <c r="N147" s="50"/>
      <c r="O147" s="50"/>
      <c r="P147" s="50"/>
      <c r="Q147" t="s">
        <v>45</v>
      </c>
    </row>
    <row r="148" spans="1:17" hidden="1">
      <c r="A148" s="52" t="s">
        <v>67</v>
      </c>
      <c r="B148" s="49" t="s">
        <v>233</v>
      </c>
      <c r="C148" t="s">
        <v>234</v>
      </c>
      <c r="D148" t="s">
        <v>9</v>
      </c>
      <c r="E148" s="13"/>
      <c r="F148" s="13"/>
      <c r="G148" s="13"/>
      <c r="H148" s="13">
        <f t="shared" si="4"/>
        <v>0</v>
      </c>
      <c r="I148" s="13">
        <v>50000</v>
      </c>
      <c r="J148" s="13">
        <f t="shared" si="5"/>
        <v>50000</v>
      </c>
      <c r="K148" s="13"/>
      <c r="L148" s="13">
        <f>+K148+J148</f>
        <v>50000</v>
      </c>
      <c r="M148" s="13"/>
      <c r="N148" s="50"/>
      <c r="O148" s="50"/>
      <c r="P148" s="50"/>
      <c r="Q148" t="s">
        <v>43</v>
      </c>
    </row>
    <row r="149" spans="1:17" s="9" customFormat="1" hidden="1">
      <c r="A149" s="53" t="s">
        <v>67</v>
      </c>
      <c r="B149" s="54" t="s">
        <v>233</v>
      </c>
      <c r="C149" s="9" t="s">
        <v>235</v>
      </c>
      <c r="D149" t="s">
        <v>9</v>
      </c>
      <c r="E149" s="13"/>
      <c r="F149" s="13">
        <v>655490.15</v>
      </c>
      <c r="G149" s="45"/>
      <c r="H149" s="13">
        <f t="shared" si="4"/>
        <v>655490.15</v>
      </c>
      <c r="I149" s="45"/>
      <c r="J149" s="13">
        <f t="shared" si="5"/>
        <v>655490.15</v>
      </c>
      <c r="K149" s="13"/>
      <c r="L149" s="13">
        <f t="shared" ref="L149:L161" si="6">+K149+J149</f>
        <v>655490.15</v>
      </c>
      <c r="M149" s="13"/>
      <c r="N149" s="50"/>
      <c r="O149" s="50"/>
      <c r="P149" s="50"/>
      <c r="Q149" t="s">
        <v>43</v>
      </c>
    </row>
    <row r="150" spans="1:17" hidden="1">
      <c r="A150" s="52" t="s">
        <v>67</v>
      </c>
      <c r="B150" s="49" t="s">
        <v>233</v>
      </c>
      <c r="C150" t="s">
        <v>236</v>
      </c>
      <c r="D150" t="s">
        <v>9</v>
      </c>
      <c r="E150" s="13"/>
      <c r="F150" s="13">
        <v>3098955.1199999996</v>
      </c>
      <c r="G150" s="13"/>
      <c r="H150" s="13">
        <f t="shared" si="4"/>
        <v>3098955.1199999996</v>
      </c>
      <c r="I150" s="13"/>
      <c r="J150" s="13">
        <f t="shared" si="5"/>
        <v>3098955.1199999996</v>
      </c>
      <c r="K150" s="13"/>
      <c r="L150" s="13">
        <f t="shared" si="6"/>
        <v>3098955.1199999996</v>
      </c>
      <c r="M150" s="13"/>
      <c r="N150" s="50"/>
      <c r="O150" s="50"/>
      <c r="P150" s="50"/>
      <c r="Q150" s="9" t="s">
        <v>45</v>
      </c>
    </row>
    <row r="151" spans="1:17" hidden="1">
      <c r="A151" s="52" t="s">
        <v>67</v>
      </c>
      <c r="B151" s="49" t="s">
        <v>233</v>
      </c>
      <c r="C151" t="s">
        <v>237</v>
      </c>
      <c r="D151" t="s">
        <v>9</v>
      </c>
      <c r="E151" s="13">
        <v>161670.16</v>
      </c>
      <c r="F151" s="13">
        <v>64489.79</v>
      </c>
      <c r="G151" s="13"/>
      <c r="H151" s="13">
        <f t="shared" si="4"/>
        <v>226159.95</v>
      </c>
      <c r="I151" s="13"/>
      <c r="J151" s="13">
        <f t="shared" si="5"/>
        <v>226159.95</v>
      </c>
      <c r="K151" s="13"/>
      <c r="L151" s="13">
        <f t="shared" si="6"/>
        <v>226159.95</v>
      </c>
      <c r="M151" s="13"/>
      <c r="N151" s="50"/>
      <c r="O151" s="50"/>
      <c r="P151" s="50"/>
      <c r="Q151" t="s">
        <v>46</v>
      </c>
    </row>
    <row r="152" spans="1:17" hidden="1">
      <c r="A152" s="52" t="s">
        <v>67</v>
      </c>
      <c r="B152" s="49" t="s">
        <v>233</v>
      </c>
      <c r="C152" t="s">
        <v>238</v>
      </c>
      <c r="D152" t="s">
        <v>9</v>
      </c>
      <c r="E152" s="13"/>
      <c r="F152" s="13">
        <v>439327.76999999996</v>
      </c>
      <c r="G152" s="13">
        <v>212000</v>
      </c>
      <c r="H152" s="13">
        <f t="shared" si="4"/>
        <v>651327.77</v>
      </c>
      <c r="I152" s="13"/>
      <c r="J152" s="13">
        <f t="shared" si="5"/>
        <v>651327.77</v>
      </c>
      <c r="K152" s="13"/>
      <c r="L152" s="13">
        <f t="shared" si="6"/>
        <v>651327.77</v>
      </c>
      <c r="M152" s="13"/>
      <c r="N152" s="50"/>
      <c r="O152" s="50"/>
      <c r="P152" s="50"/>
      <c r="Q152" t="s">
        <v>45</v>
      </c>
    </row>
    <row r="153" spans="1:17" hidden="1">
      <c r="A153" s="52" t="s">
        <v>67</v>
      </c>
      <c r="B153" s="49" t="s">
        <v>233</v>
      </c>
      <c r="C153" t="s">
        <v>239</v>
      </c>
      <c r="D153" t="s">
        <v>9</v>
      </c>
      <c r="E153" s="13"/>
      <c r="F153" s="13">
        <v>252941.72</v>
      </c>
      <c r="G153" s="13">
        <v>60000</v>
      </c>
      <c r="H153" s="13">
        <f t="shared" si="4"/>
        <v>312941.71999999997</v>
      </c>
      <c r="I153" s="13"/>
      <c r="J153" s="13">
        <f t="shared" si="5"/>
        <v>312941.71999999997</v>
      </c>
      <c r="K153" s="13"/>
      <c r="L153" s="13">
        <f t="shared" si="6"/>
        <v>312941.71999999997</v>
      </c>
      <c r="M153" s="13"/>
      <c r="N153" s="50"/>
      <c r="O153" s="50"/>
      <c r="P153" s="50"/>
      <c r="Q153" t="s">
        <v>45</v>
      </c>
    </row>
    <row r="154" spans="1:17" hidden="1">
      <c r="A154" s="52" t="s">
        <v>67</v>
      </c>
      <c r="B154" s="49" t="s">
        <v>233</v>
      </c>
      <c r="C154" t="s">
        <v>240</v>
      </c>
      <c r="D154" t="s">
        <v>9</v>
      </c>
      <c r="E154" s="13">
        <v>528790.14000000013</v>
      </c>
      <c r="F154" s="13">
        <v>40663.61</v>
      </c>
      <c r="G154" s="13"/>
      <c r="H154" s="13">
        <f t="shared" si="4"/>
        <v>569453.75000000012</v>
      </c>
      <c r="I154" s="13"/>
      <c r="J154" s="13">
        <f t="shared" si="5"/>
        <v>569453.75000000012</v>
      </c>
      <c r="K154" s="13"/>
      <c r="L154" s="13">
        <f t="shared" si="6"/>
        <v>569453.75000000012</v>
      </c>
      <c r="M154" s="13"/>
      <c r="N154" s="50"/>
      <c r="O154" s="50"/>
      <c r="P154" s="50"/>
      <c r="Q154" t="s">
        <v>45</v>
      </c>
    </row>
    <row r="155" spans="1:17" hidden="1">
      <c r="A155" s="52" t="s">
        <v>67</v>
      </c>
      <c r="B155" s="49" t="s">
        <v>233</v>
      </c>
      <c r="C155" t="s">
        <v>241</v>
      </c>
      <c r="D155" t="s">
        <v>9</v>
      </c>
      <c r="E155" s="13"/>
      <c r="F155" s="13">
        <v>864678.73</v>
      </c>
      <c r="G155" s="13"/>
      <c r="H155" s="13">
        <f t="shared" si="4"/>
        <v>864678.73</v>
      </c>
      <c r="I155" s="13"/>
      <c r="J155" s="13">
        <f t="shared" si="5"/>
        <v>864678.73</v>
      </c>
      <c r="K155" s="13"/>
      <c r="L155" s="13">
        <f t="shared" si="6"/>
        <v>864678.73</v>
      </c>
      <c r="M155" s="13"/>
      <c r="N155" s="50"/>
      <c r="O155" s="50"/>
      <c r="P155" s="50"/>
      <c r="Q155" t="s">
        <v>42</v>
      </c>
    </row>
    <row r="156" spans="1:17" hidden="1">
      <c r="A156" s="52" t="s">
        <v>67</v>
      </c>
      <c r="B156" s="49" t="s">
        <v>233</v>
      </c>
      <c r="C156" t="s">
        <v>242</v>
      </c>
      <c r="D156" t="s">
        <v>9</v>
      </c>
      <c r="E156" s="13"/>
      <c r="F156" s="13"/>
      <c r="G156" s="13">
        <v>300000</v>
      </c>
      <c r="H156" s="13">
        <f t="shared" si="4"/>
        <v>300000</v>
      </c>
      <c r="I156" s="13"/>
      <c r="J156" s="13">
        <f t="shared" si="5"/>
        <v>300000</v>
      </c>
      <c r="K156" s="13"/>
      <c r="L156" s="13">
        <f t="shared" si="6"/>
        <v>300000</v>
      </c>
      <c r="M156" s="13"/>
      <c r="N156" s="50"/>
      <c r="O156" s="50"/>
      <c r="P156" s="50"/>
      <c r="Q156" t="s">
        <v>42</v>
      </c>
    </row>
    <row r="157" spans="1:17" hidden="1">
      <c r="A157" s="52" t="s">
        <v>67</v>
      </c>
      <c r="B157" s="49" t="s">
        <v>233</v>
      </c>
      <c r="C157" t="s">
        <v>243</v>
      </c>
      <c r="D157" t="s">
        <v>9</v>
      </c>
      <c r="E157" s="13">
        <v>-362.58</v>
      </c>
      <c r="F157" s="13"/>
      <c r="G157" s="13"/>
      <c r="H157" s="13">
        <f t="shared" si="4"/>
        <v>-362.58</v>
      </c>
      <c r="I157" s="13"/>
      <c r="J157" s="13">
        <f t="shared" si="5"/>
        <v>-362.58</v>
      </c>
      <c r="K157" s="13"/>
      <c r="L157" s="13">
        <f t="shared" si="6"/>
        <v>-362.58</v>
      </c>
      <c r="M157" s="13"/>
      <c r="N157" s="50"/>
      <c r="O157" s="50"/>
      <c r="P157" s="50"/>
      <c r="Q157" t="s">
        <v>42</v>
      </c>
    </row>
    <row r="158" spans="1:17" hidden="1">
      <c r="A158" s="52" t="s">
        <v>67</v>
      </c>
      <c r="B158" s="49" t="s">
        <v>233</v>
      </c>
      <c r="C158" t="s">
        <v>244</v>
      </c>
      <c r="D158" t="s">
        <v>9</v>
      </c>
      <c r="E158" s="13">
        <v>69013.319999999992</v>
      </c>
      <c r="F158" s="13">
        <v>107282.45000000001</v>
      </c>
      <c r="G158" s="13"/>
      <c r="H158" s="13">
        <f t="shared" si="4"/>
        <v>176295.77000000002</v>
      </c>
      <c r="I158" s="13"/>
      <c r="J158" s="13">
        <f t="shared" si="5"/>
        <v>176295.77000000002</v>
      </c>
      <c r="K158" s="13"/>
      <c r="L158" s="13">
        <f t="shared" si="6"/>
        <v>176295.77000000002</v>
      </c>
      <c r="M158" s="13"/>
      <c r="N158" s="50"/>
      <c r="O158" s="50"/>
      <c r="P158" s="50"/>
      <c r="Q158" t="s">
        <v>42</v>
      </c>
    </row>
    <row r="159" spans="1:17" hidden="1">
      <c r="A159" s="52" t="s">
        <v>67</v>
      </c>
      <c r="B159" s="49" t="s">
        <v>233</v>
      </c>
      <c r="C159" t="s">
        <v>245</v>
      </c>
      <c r="D159" t="s">
        <v>9</v>
      </c>
      <c r="E159" s="13"/>
      <c r="F159" s="13">
        <v>528795.21</v>
      </c>
      <c r="G159" s="13"/>
      <c r="H159" s="13">
        <f t="shared" si="4"/>
        <v>528795.21</v>
      </c>
      <c r="I159" s="13"/>
      <c r="J159" s="13">
        <f t="shared" si="5"/>
        <v>528795.21</v>
      </c>
      <c r="K159" s="13"/>
      <c r="L159" s="13">
        <f t="shared" si="6"/>
        <v>528795.21</v>
      </c>
      <c r="M159" s="13"/>
      <c r="N159" s="50"/>
      <c r="O159" s="50"/>
      <c r="P159" s="50"/>
      <c r="Q159" t="s">
        <v>42</v>
      </c>
    </row>
    <row r="160" spans="1:17" hidden="1">
      <c r="A160" s="52" t="s">
        <v>67</v>
      </c>
      <c r="B160" s="49" t="s">
        <v>233</v>
      </c>
      <c r="C160" t="s">
        <v>246</v>
      </c>
      <c r="D160" t="s">
        <v>9</v>
      </c>
      <c r="E160" s="13"/>
      <c r="F160" s="13"/>
      <c r="G160" s="13">
        <v>350000</v>
      </c>
      <c r="H160" s="13">
        <f t="shared" si="4"/>
        <v>350000</v>
      </c>
      <c r="I160" s="13"/>
      <c r="J160" s="13">
        <f t="shared" si="5"/>
        <v>350000</v>
      </c>
      <c r="K160" s="13"/>
      <c r="L160" s="13">
        <f t="shared" si="6"/>
        <v>350000</v>
      </c>
      <c r="M160" s="13"/>
      <c r="N160" s="50"/>
      <c r="O160" s="50"/>
      <c r="P160" s="50"/>
      <c r="Q160" t="s">
        <v>42</v>
      </c>
    </row>
    <row r="161" spans="1:17" hidden="1">
      <c r="A161" s="52" t="s">
        <v>67</v>
      </c>
      <c r="B161" s="49" t="s">
        <v>233</v>
      </c>
      <c r="C161" t="s">
        <v>247</v>
      </c>
      <c r="D161" t="s">
        <v>9</v>
      </c>
      <c r="E161" s="13"/>
      <c r="F161" s="13"/>
      <c r="G161" s="13"/>
      <c r="H161" s="13">
        <f t="shared" si="4"/>
        <v>0</v>
      </c>
      <c r="I161" s="13">
        <v>150000</v>
      </c>
      <c r="J161" s="13">
        <f t="shared" si="5"/>
        <v>150000</v>
      </c>
      <c r="K161" s="13"/>
      <c r="L161" s="13">
        <f t="shared" si="6"/>
        <v>150000</v>
      </c>
      <c r="M161" s="13"/>
      <c r="N161" s="50"/>
      <c r="O161" s="50"/>
      <c r="P161" s="50"/>
      <c r="Q161" t="s">
        <v>45</v>
      </c>
    </row>
    <row r="162" spans="1:17" hidden="1">
      <c r="A162" s="52" t="s">
        <v>67</v>
      </c>
      <c r="B162" s="49" t="s">
        <v>233</v>
      </c>
      <c r="C162" t="s">
        <v>248</v>
      </c>
      <c r="D162" t="s">
        <v>31</v>
      </c>
      <c r="E162" s="13">
        <v>-5023264.79</v>
      </c>
      <c r="F162" s="13"/>
      <c r="G162" s="13"/>
      <c r="H162" s="13">
        <f t="shared" si="4"/>
        <v>-5023264.79</v>
      </c>
      <c r="I162" s="13"/>
      <c r="J162" s="13">
        <f t="shared" si="5"/>
        <v>-5023264.79</v>
      </c>
      <c r="K162" s="13"/>
      <c r="L162" s="13"/>
      <c r="M162" s="13"/>
      <c r="N162" s="50"/>
      <c r="O162" s="50"/>
      <c r="P162" s="50"/>
      <c r="Q162" t="s">
        <v>41</v>
      </c>
    </row>
    <row r="163" spans="1:17" hidden="1">
      <c r="A163" s="52" t="s">
        <v>67</v>
      </c>
      <c r="B163" s="49" t="s">
        <v>233</v>
      </c>
      <c r="C163" t="s">
        <v>249</v>
      </c>
      <c r="D163" t="s">
        <v>9</v>
      </c>
      <c r="E163" s="13">
        <v>10735.459999999995</v>
      </c>
      <c r="F163" s="13"/>
      <c r="G163" s="13"/>
      <c r="H163" s="13">
        <f t="shared" si="4"/>
        <v>10735.459999999995</v>
      </c>
      <c r="I163" s="13"/>
      <c r="J163" s="13">
        <f t="shared" si="5"/>
        <v>10735.459999999995</v>
      </c>
      <c r="K163" s="13"/>
      <c r="L163" s="13">
        <f t="shared" ref="L163:L166" si="7">+K163+J163</f>
        <v>10735.459999999995</v>
      </c>
      <c r="M163" s="13"/>
      <c r="N163" s="50"/>
      <c r="O163" s="50"/>
      <c r="P163" s="50"/>
      <c r="Q163" t="s">
        <v>42</v>
      </c>
    </row>
    <row r="164" spans="1:17" hidden="1">
      <c r="A164" s="52" t="s">
        <v>67</v>
      </c>
      <c r="B164" s="49" t="s">
        <v>233</v>
      </c>
      <c r="C164" t="s">
        <v>250</v>
      </c>
      <c r="D164" t="s">
        <v>9</v>
      </c>
      <c r="E164" s="13">
        <v>50727.63</v>
      </c>
      <c r="F164" s="13"/>
      <c r="G164" s="13"/>
      <c r="H164" s="13">
        <f t="shared" si="4"/>
        <v>50727.63</v>
      </c>
      <c r="I164" s="13"/>
      <c r="J164" s="13">
        <f t="shared" si="5"/>
        <v>50727.63</v>
      </c>
      <c r="K164" s="13"/>
      <c r="L164" s="13">
        <f t="shared" si="7"/>
        <v>50727.63</v>
      </c>
      <c r="M164" s="13"/>
      <c r="N164" s="50"/>
      <c r="O164" s="50"/>
      <c r="P164" s="50"/>
      <c r="Q164" t="s">
        <v>42</v>
      </c>
    </row>
    <row r="165" spans="1:17" hidden="1">
      <c r="A165" s="52" t="s">
        <v>67</v>
      </c>
      <c r="B165" s="49" t="s">
        <v>233</v>
      </c>
      <c r="C165" t="s">
        <v>251</v>
      </c>
      <c r="D165" t="s">
        <v>9</v>
      </c>
      <c r="E165" s="13">
        <v>52867.369999999988</v>
      </c>
      <c r="F165" s="13">
        <v>4694.3899999999994</v>
      </c>
      <c r="G165" s="13"/>
      <c r="H165" s="13">
        <f t="shared" si="4"/>
        <v>57561.759999999987</v>
      </c>
      <c r="I165" s="13"/>
      <c r="J165" s="13">
        <f t="shared" si="5"/>
        <v>57561.759999999987</v>
      </c>
      <c r="K165" s="13"/>
      <c r="L165" s="13">
        <f t="shared" si="7"/>
        <v>57561.759999999987</v>
      </c>
      <c r="M165" s="13"/>
      <c r="N165" s="50"/>
      <c r="O165" s="50"/>
      <c r="P165" s="50"/>
      <c r="Q165" t="s">
        <v>42</v>
      </c>
    </row>
    <row r="166" spans="1:17" hidden="1">
      <c r="A166" s="52" t="s">
        <v>67</v>
      </c>
      <c r="B166" s="49" t="s">
        <v>233</v>
      </c>
      <c r="C166" t="s">
        <v>252</v>
      </c>
      <c r="D166" t="s">
        <v>9</v>
      </c>
      <c r="E166" s="13"/>
      <c r="F166" s="13">
        <v>194037.67</v>
      </c>
      <c r="G166" s="13"/>
      <c r="H166" s="13">
        <f t="shared" si="4"/>
        <v>194037.67</v>
      </c>
      <c r="I166" s="13"/>
      <c r="J166" s="13">
        <f t="shared" si="5"/>
        <v>194037.67</v>
      </c>
      <c r="K166" s="13"/>
      <c r="L166" s="13">
        <f t="shared" si="7"/>
        <v>194037.67</v>
      </c>
      <c r="M166" s="13"/>
      <c r="N166" s="50"/>
      <c r="O166" s="50"/>
      <c r="P166" s="50"/>
      <c r="Q166" t="s">
        <v>42</v>
      </c>
    </row>
    <row r="167" spans="1:17" hidden="1">
      <c r="A167" s="52" t="s">
        <v>67</v>
      </c>
      <c r="B167" s="49" t="s">
        <v>233</v>
      </c>
      <c r="C167" t="s">
        <v>253</v>
      </c>
      <c r="D167" t="s">
        <v>31</v>
      </c>
      <c r="E167" s="13">
        <v>-4021003.64</v>
      </c>
      <c r="F167" s="13"/>
      <c r="G167" s="13"/>
      <c r="H167" s="13">
        <f t="shared" si="4"/>
        <v>-4021003.64</v>
      </c>
      <c r="I167" s="13"/>
      <c r="J167" s="13">
        <f t="shared" si="5"/>
        <v>-4021003.64</v>
      </c>
      <c r="K167" s="13"/>
      <c r="L167" s="13"/>
      <c r="M167" s="13"/>
      <c r="N167" s="50"/>
      <c r="O167" s="50"/>
      <c r="P167" s="50"/>
      <c r="Q167" t="s">
        <v>41</v>
      </c>
    </row>
    <row r="168" spans="1:17" hidden="1">
      <c r="A168" s="52" t="s">
        <v>67</v>
      </c>
      <c r="B168" s="49" t="s">
        <v>233</v>
      </c>
      <c r="C168" t="s">
        <v>254</v>
      </c>
      <c r="D168" t="s">
        <v>9</v>
      </c>
      <c r="E168" s="13"/>
      <c r="F168" s="13">
        <v>8799.2000000000007</v>
      </c>
      <c r="G168" s="13"/>
      <c r="H168" s="13">
        <f t="shared" si="4"/>
        <v>8799.2000000000007</v>
      </c>
      <c r="I168" s="13"/>
      <c r="J168" s="13">
        <f t="shared" si="5"/>
        <v>8799.2000000000007</v>
      </c>
      <c r="K168" s="13"/>
      <c r="L168" s="13">
        <f t="shared" ref="L168:L212" si="8">+K168+J168</f>
        <v>8799.2000000000007</v>
      </c>
      <c r="M168" s="13"/>
      <c r="N168" s="50"/>
      <c r="O168" s="50"/>
      <c r="P168" s="50"/>
      <c r="Q168" t="s">
        <v>45</v>
      </c>
    </row>
    <row r="169" spans="1:17" hidden="1">
      <c r="A169" s="52" t="s">
        <v>67</v>
      </c>
      <c r="B169" s="49" t="s">
        <v>233</v>
      </c>
      <c r="C169" t="s">
        <v>255</v>
      </c>
      <c r="D169" t="s">
        <v>9</v>
      </c>
      <c r="E169" s="13"/>
      <c r="F169" s="13"/>
      <c r="G169" s="13"/>
      <c r="H169" s="13">
        <f t="shared" si="4"/>
        <v>0</v>
      </c>
      <c r="I169" s="13">
        <v>500000.04</v>
      </c>
      <c r="J169" s="13">
        <f t="shared" si="5"/>
        <v>500000.04</v>
      </c>
      <c r="K169" s="13"/>
      <c r="L169" s="13">
        <f t="shared" si="8"/>
        <v>500000.04</v>
      </c>
      <c r="M169" s="13"/>
      <c r="N169" s="50"/>
      <c r="O169" s="50"/>
      <c r="P169" s="50"/>
      <c r="Q169" t="s">
        <v>45</v>
      </c>
    </row>
    <row r="170" spans="1:17" hidden="1">
      <c r="A170" s="52" t="s">
        <v>67</v>
      </c>
      <c r="B170" s="49" t="s">
        <v>233</v>
      </c>
      <c r="C170" t="s">
        <v>256</v>
      </c>
      <c r="D170" t="s">
        <v>9</v>
      </c>
      <c r="E170" s="13"/>
      <c r="F170" s="13">
        <v>26397.599999999999</v>
      </c>
      <c r="G170" s="13"/>
      <c r="H170" s="13">
        <f t="shared" si="4"/>
        <v>26397.599999999999</v>
      </c>
      <c r="I170" s="13">
        <v>100000</v>
      </c>
      <c r="J170" s="13">
        <f t="shared" si="5"/>
        <v>126397.6</v>
      </c>
      <c r="K170" s="13"/>
      <c r="L170" s="13">
        <f t="shared" si="8"/>
        <v>126397.6</v>
      </c>
      <c r="M170" s="13"/>
      <c r="N170" s="50"/>
      <c r="O170" s="50"/>
      <c r="P170" s="50"/>
      <c r="Q170" t="s">
        <v>45</v>
      </c>
    </row>
    <row r="171" spans="1:17" hidden="1">
      <c r="A171" s="52" t="s">
        <v>67</v>
      </c>
      <c r="B171" s="49" t="s">
        <v>233</v>
      </c>
      <c r="C171" t="s">
        <v>257</v>
      </c>
      <c r="D171" t="s">
        <v>9</v>
      </c>
      <c r="E171" s="13"/>
      <c r="F171" s="13">
        <v>398044.8</v>
      </c>
      <c r="G171" s="13"/>
      <c r="H171" s="13">
        <f t="shared" si="4"/>
        <v>398044.8</v>
      </c>
      <c r="I171" s="13">
        <v>200000.04</v>
      </c>
      <c r="J171" s="13">
        <f t="shared" si="5"/>
        <v>598044.84</v>
      </c>
      <c r="K171" s="13"/>
      <c r="L171" s="13">
        <f t="shared" si="8"/>
        <v>598044.84</v>
      </c>
      <c r="M171" s="13"/>
      <c r="N171" s="50"/>
      <c r="O171" s="50"/>
      <c r="P171" s="50"/>
      <c r="Q171" t="s">
        <v>45</v>
      </c>
    </row>
    <row r="172" spans="1:17" hidden="1">
      <c r="A172" s="52" t="s">
        <v>67</v>
      </c>
      <c r="B172" s="49" t="s">
        <v>233</v>
      </c>
      <c r="C172" t="s">
        <v>258</v>
      </c>
      <c r="D172" t="s">
        <v>9</v>
      </c>
      <c r="E172" s="13"/>
      <c r="F172" s="13"/>
      <c r="G172" s="13">
        <v>500000</v>
      </c>
      <c r="H172" s="13">
        <f t="shared" si="4"/>
        <v>500000</v>
      </c>
      <c r="I172" s="13"/>
      <c r="J172" s="13">
        <f t="shared" si="5"/>
        <v>500000</v>
      </c>
      <c r="K172" s="13"/>
      <c r="L172" s="13">
        <f t="shared" si="8"/>
        <v>500000</v>
      </c>
      <c r="M172" s="13"/>
      <c r="N172" s="50"/>
      <c r="O172" s="50"/>
      <c r="P172" s="50"/>
      <c r="Q172" t="s">
        <v>45</v>
      </c>
    </row>
    <row r="173" spans="1:17" hidden="1">
      <c r="A173" s="52" t="s">
        <v>67</v>
      </c>
      <c r="B173" s="49" t="s">
        <v>233</v>
      </c>
      <c r="C173" t="s">
        <v>259</v>
      </c>
      <c r="D173" t="s">
        <v>9</v>
      </c>
      <c r="E173" s="13">
        <v>-2889.5300000000175</v>
      </c>
      <c r="F173" s="13">
        <v>-31862</v>
      </c>
      <c r="G173" s="13"/>
      <c r="H173" s="13">
        <f t="shared" si="4"/>
        <v>-34751.530000000021</v>
      </c>
      <c r="I173" s="13"/>
      <c r="J173" s="13">
        <f t="shared" si="5"/>
        <v>-34751.530000000021</v>
      </c>
      <c r="K173" s="13"/>
      <c r="L173" s="13">
        <f t="shared" si="8"/>
        <v>-34751.530000000021</v>
      </c>
      <c r="M173" s="13"/>
      <c r="N173" s="50"/>
      <c r="O173" s="50"/>
      <c r="P173" s="50"/>
      <c r="Q173" t="s">
        <v>45</v>
      </c>
    </row>
    <row r="174" spans="1:17" hidden="1">
      <c r="A174" s="52" t="s">
        <v>67</v>
      </c>
      <c r="B174" s="49" t="s">
        <v>233</v>
      </c>
      <c r="C174" t="s">
        <v>260</v>
      </c>
      <c r="D174" t="s">
        <v>9</v>
      </c>
      <c r="E174" s="13">
        <v>386072.6</v>
      </c>
      <c r="F174" s="13">
        <v>1016572.7000000001</v>
      </c>
      <c r="G174" s="13">
        <v>543300.01</v>
      </c>
      <c r="H174" s="13">
        <f t="shared" si="4"/>
        <v>1945945.31</v>
      </c>
      <c r="I174" s="13">
        <v>52571.040000000001</v>
      </c>
      <c r="J174" s="13">
        <f t="shared" si="5"/>
        <v>1998516.35</v>
      </c>
      <c r="K174" s="13"/>
      <c r="L174" s="13">
        <f t="shared" si="8"/>
        <v>1998516.35</v>
      </c>
      <c r="M174" s="13"/>
      <c r="N174" s="50"/>
      <c r="O174" s="50"/>
      <c r="P174" s="50"/>
      <c r="Q174" t="s">
        <v>45</v>
      </c>
    </row>
    <row r="175" spans="1:17" hidden="1">
      <c r="A175" s="52" t="s">
        <v>67</v>
      </c>
      <c r="B175" s="49" t="s">
        <v>233</v>
      </c>
      <c r="C175" t="s">
        <v>261</v>
      </c>
      <c r="D175" t="s">
        <v>9</v>
      </c>
      <c r="E175" s="13"/>
      <c r="F175" s="13"/>
      <c r="G175" s="13">
        <v>500000</v>
      </c>
      <c r="H175" s="13">
        <f t="shared" si="4"/>
        <v>500000</v>
      </c>
      <c r="I175" s="13"/>
      <c r="J175" s="13">
        <f t="shared" si="5"/>
        <v>500000</v>
      </c>
      <c r="K175" s="13"/>
      <c r="L175" s="13">
        <f t="shared" si="8"/>
        <v>500000</v>
      </c>
      <c r="M175" s="13"/>
      <c r="N175" s="50"/>
      <c r="O175" s="50"/>
      <c r="P175" s="50"/>
      <c r="Q175" t="s">
        <v>45</v>
      </c>
    </row>
    <row r="176" spans="1:17" hidden="1">
      <c r="A176" s="52" t="s">
        <v>67</v>
      </c>
      <c r="B176" s="49" t="s">
        <v>233</v>
      </c>
      <c r="C176" t="s">
        <v>262</v>
      </c>
      <c r="D176" t="s">
        <v>9</v>
      </c>
      <c r="E176" s="13"/>
      <c r="F176" s="13"/>
      <c r="G176" s="13">
        <v>100000</v>
      </c>
      <c r="H176" s="13">
        <f t="shared" si="4"/>
        <v>100000</v>
      </c>
      <c r="I176" s="13">
        <v>400000</v>
      </c>
      <c r="J176" s="13">
        <f t="shared" si="5"/>
        <v>500000</v>
      </c>
      <c r="K176" s="13"/>
      <c r="L176" s="13">
        <f t="shared" si="8"/>
        <v>500000</v>
      </c>
      <c r="M176" s="13"/>
      <c r="N176" s="50"/>
      <c r="O176" s="50"/>
      <c r="P176" s="50"/>
      <c r="Q176" t="s">
        <v>45</v>
      </c>
    </row>
    <row r="177" spans="1:17" hidden="1">
      <c r="A177" s="52" t="s">
        <v>67</v>
      </c>
      <c r="B177" s="49" t="s">
        <v>233</v>
      </c>
      <c r="C177" t="s">
        <v>263</v>
      </c>
      <c r="D177" t="s">
        <v>9</v>
      </c>
      <c r="E177" s="13">
        <v>0</v>
      </c>
      <c r="F177" s="13"/>
      <c r="G177" s="13"/>
      <c r="H177" s="13">
        <f t="shared" si="4"/>
        <v>0</v>
      </c>
      <c r="I177" s="13"/>
      <c r="J177" s="13">
        <f t="shared" si="5"/>
        <v>0</v>
      </c>
      <c r="K177" s="13"/>
      <c r="L177" s="13">
        <f t="shared" si="8"/>
        <v>0</v>
      </c>
      <c r="M177" s="13"/>
      <c r="N177" s="50"/>
      <c r="O177" s="50"/>
      <c r="P177" s="50"/>
      <c r="Q177" t="s">
        <v>46</v>
      </c>
    </row>
    <row r="178" spans="1:17" hidden="1">
      <c r="A178" s="52" t="s">
        <v>67</v>
      </c>
      <c r="B178" s="49" t="s">
        <v>233</v>
      </c>
      <c r="C178" t="s">
        <v>264</v>
      </c>
      <c r="D178" t="s">
        <v>9</v>
      </c>
      <c r="E178" s="13"/>
      <c r="F178" s="13"/>
      <c r="G178" s="13">
        <v>650000</v>
      </c>
      <c r="H178" s="13">
        <f t="shared" si="4"/>
        <v>650000</v>
      </c>
      <c r="I178" s="13"/>
      <c r="J178" s="13">
        <f t="shared" si="5"/>
        <v>650000</v>
      </c>
      <c r="K178" s="13"/>
      <c r="L178" s="13">
        <f t="shared" si="8"/>
        <v>650000</v>
      </c>
      <c r="M178" s="13"/>
      <c r="N178" s="50"/>
      <c r="O178" s="50"/>
      <c r="P178" s="50"/>
      <c r="Q178" t="s">
        <v>46</v>
      </c>
    </row>
    <row r="179" spans="1:17" hidden="1">
      <c r="A179" s="52" t="s">
        <v>67</v>
      </c>
      <c r="B179" s="49" t="s">
        <v>233</v>
      </c>
      <c r="C179" t="s">
        <v>265</v>
      </c>
      <c r="D179" t="s">
        <v>9</v>
      </c>
      <c r="E179" s="13">
        <v>2906810.7000000007</v>
      </c>
      <c r="F179" s="13">
        <v>7893278.0400000028</v>
      </c>
      <c r="G179" s="13"/>
      <c r="H179" s="13">
        <f t="shared" si="4"/>
        <v>10800088.740000004</v>
      </c>
      <c r="I179" s="13"/>
      <c r="J179" s="13">
        <f t="shared" si="5"/>
        <v>10800088.740000004</v>
      </c>
      <c r="K179" s="13"/>
      <c r="L179" s="13">
        <f t="shared" si="8"/>
        <v>10800088.740000004</v>
      </c>
      <c r="M179" s="13"/>
      <c r="N179" s="50"/>
      <c r="O179" s="50"/>
      <c r="P179" s="50"/>
      <c r="Q179" t="s">
        <v>45</v>
      </c>
    </row>
    <row r="180" spans="1:17" hidden="1">
      <c r="A180" s="52" t="s">
        <v>67</v>
      </c>
      <c r="B180" s="49" t="s">
        <v>233</v>
      </c>
      <c r="C180" t="s">
        <v>266</v>
      </c>
      <c r="D180" t="s">
        <v>9</v>
      </c>
      <c r="E180" s="13">
        <v>58598.270000000004</v>
      </c>
      <c r="F180" s="13"/>
      <c r="G180" s="13"/>
      <c r="H180" s="13">
        <f t="shared" si="4"/>
        <v>58598.270000000004</v>
      </c>
      <c r="I180" s="13"/>
      <c r="J180" s="13">
        <f t="shared" si="5"/>
        <v>58598.270000000004</v>
      </c>
      <c r="K180" s="13"/>
      <c r="L180" s="13">
        <f t="shared" si="8"/>
        <v>58598.270000000004</v>
      </c>
      <c r="M180" s="13"/>
      <c r="N180" s="50"/>
      <c r="O180" s="50"/>
      <c r="P180" s="50"/>
      <c r="Q180" t="s">
        <v>46</v>
      </c>
    </row>
    <row r="181" spans="1:17" hidden="1">
      <c r="A181" s="52" t="s">
        <v>67</v>
      </c>
      <c r="B181" s="49" t="s">
        <v>233</v>
      </c>
      <c r="C181" t="s">
        <v>267</v>
      </c>
      <c r="D181" t="s">
        <v>9</v>
      </c>
      <c r="E181" s="13"/>
      <c r="F181" s="13"/>
      <c r="G181" s="13">
        <v>95812</v>
      </c>
      <c r="H181" s="13">
        <f t="shared" si="4"/>
        <v>95812</v>
      </c>
      <c r="I181" s="13"/>
      <c r="J181" s="13">
        <f t="shared" si="5"/>
        <v>95812</v>
      </c>
      <c r="K181" s="13"/>
      <c r="L181" s="13">
        <f t="shared" si="8"/>
        <v>95812</v>
      </c>
      <c r="M181" s="13"/>
      <c r="N181" s="50"/>
      <c r="O181" s="50"/>
      <c r="P181" s="50"/>
      <c r="Q181" t="s">
        <v>45</v>
      </c>
    </row>
    <row r="182" spans="1:17" hidden="1">
      <c r="A182" s="52" t="s">
        <v>67</v>
      </c>
      <c r="B182" s="49" t="s">
        <v>233</v>
      </c>
      <c r="C182" t="s">
        <v>268</v>
      </c>
      <c r="D182" t="s">
        <v>9</v>
      </c>
      <c r="E182" s="13">
        <v>13836.859999999986</v>
      </c>
      <c r="F182" s="13"/>
      <c r="G182" s="13"/>
      <c r="H182" s="13">
        <f t="shared" si="4"/>
        <v>13836.859999999986</v>
      </c>
      <c r="I182" s="13"/>
      <c r="J182" s="13">
        <f t="shared" si="5"/>
        <v>13836.859999999986</v>
      </c>
      <c r="K182" s="13"/>
      <c r="L182" s="13">
        <f t="shared" si="8"/>
        <v>13836.859999999986</v>
      </c>
      <c r="M182" s="13"/>
      <c r="N182" s="50"/>
      <c r="O182" s="50"/>
      <c r="P182" s="50"/>
      <c r="Q182" t="s">
        <v>45</v>
      </c>
    </row>
    <row r="183" spans="1:17" hidden="1">
      <c r="A183" s="52" t="s">
        <v>67</v>
      </c>
      <c r="B183" s="49" t="s">
        <v>233</v>
      </c>
      <c r="C183" t="s">
        <v>269</v>
      </c>
      <c r="D183" t="s">
        <v>9</v>
      </c>
      <c r="E183" s="13"/>
      <c r="F183" s="13">
        <v>88262.959999999992</v>
      </c>
      <c r="G183" s="13"/>
      <c r="H183" s="13">
        <f t="shared" si="4"/>
        <v>88262.959999999992</v>
      </c>
      <c r="I183" s="13"/>
      <c r="J183" s="13">
        <f t="shared" si="5"/>
        <v>88262.959999999992</v>
      </c>
      <c r="K183" s="13"/>
      <c r="L183" s="13">
        <f t="shared" si="8"/>
        <v>88262.959999999992</v>
      </c>
      <c r="M183" s="13"/>
      <c r="N183" s="50"/>
      <c r="O183" s="50"/>
      <c r="P183" s="50"/>
      <c r="Q183" t="s">
        <v>45</v>
      </c>
    </row>
    <row r="184" spans="1:17" hidden="1">
      <c r="A184" s="52" t="s">
        <v>67</v>
      </c>
      <c r="B184" s="49" t="s">
        <v>233</v>
      </c>
      <c r="C184" t="s">
        <v>270</v>
      </c>
      <c r="D184" t="s">
        <v>9</v>
      </c>
      <c r="E184" s="13"/>
      <c r="F184" s="13">
        <v>1237883.6599999999</v>
      </c>
      <c r="G184" s="13">
        <v>300000</v>
      </c>
      <c r="H184" s="13">
        <f t="shared" si="4"/>
        <v>1537883.66</v>
      </c>
      <c r="I184" s="13">
        <v>800000</v>
      </c>
      <c r="J184" s="13">
        <f t="shared" si="5"/>
        <v>2337883.66</v>
      </c>
      <c r="K184" s="13"/>
      <c r="L184" s="13">
        <f t="shared" si="8"/>
        <v>2337883.66</v>
      </c>
      <c r="M184" s="13"/>
      <c r="N184" s="50"/>
      <c r="O184" s="50"/>
      <c r="P184" s="50"/>
      <c r="Q184" t="s">
        <v>45</v>
      </c>
    </row>
    <row r="185" spans="1:17" hidden="1">
      <c r="A185" s="52" t="s">
        <v>67</v>
      </c>
      <c r="B185" s="49" t="s">
        <v>233</v>
      </c>
      <c r="C185" t="s">
        <v>271</v>
      </c>
      <c r="D185" t="s">
        <v>9</v>
      </c>
      <c r="E185" s="13"/>
      <c r="F185" s="13"/>
      <c r="G185" s="13">
        <v>200000.00999999998</v>
      </c>
      <c r="H185" s="13">
        <f t="shared" si="4"/>
        <v>200000.00999999998</v>
      </c>
      <c r="I185" s="13">
        <v>650000.04</v>
      </c>
      <c r="J185" s="13">
        <f t="shared" si="5"/>
        <v>850000.05</v>
      </c>
      <c r="K185" s="13"/>
      <c r="L185" s="13">
        <f t="shared" si="8"/>
        <v>850000.05</v>
      </c>
      <c r="M185" s="13"/>
      <c r="N185" s="50"/>
      <c r="O185" s="50"/>
      <c r="P185" s="50"/>
      <c r="Q185" t="s">
        <v>45</v>
      </c>
    </row>
    <row r="186" spans="1:17" hidden="1">
      <c r="A186" s="52" t="s">
        <v>67</v>
      </c>
      <c r="B186" s="49" t="s">
        <v>233</v>
      </c>
      <c r="C186" t="s">
        <v>272</v>
      </c>
      <c r="D186" t="s">
        <v>9</v>
      </c>
      <c r="E186" s="13"/>
      <c r="F186" s="13"/>
      <c r="G186" s="13"/>
      <c r="H186" s="13">
        <f t="shared" si="4"/>
        <v>0</v>
      </c>
      <c r="I186" s="13">
        <v>675000</v>
      </c>
      <c r="J186" s="13">
        <f t="shared" si="5"/>
        <v>675000</v>
      </c>
      <c r="K186" s="13"/>
      <c r="L186" s="13">
        <f t="shared" si="8"/>
        <v>675000</v>
      </c>
      <c r="M186" s="13"/>
      <c r="N186" s="50"/>
      <c r="O186" s="50"/>
      <c r="P186" s="50"/>
      <c r="Q186" t="s">
        <v>45</v>
      </c>
    </row>
    <row r="187" spans="1:17" hidden="1">
      <c r="A187" s="52" t="s">
        <v>67</v>
      </c>
      <c r="B187" s="49" t="s">
        <v>233</v>
      </c>
      <c r="C187" t="s">
        <v>273</v>
      </c>
      <c r="D187" t="s">
        <v>9</v>
      </c>
      <c r="E187" s="13">
        <v>62534.98</v>
      </c>
      <c r="F187" s="13">
        <v>930023.57999999949</v>
      </c>
      <c r="G187" s="13">
        <v>715169</v>
      </c>
      <c r="H187" s="13">
        <f t="shared" si="4"/>
        <v>1707727.5599999996</v>
      </c>
      <c r="I187" s="13"/>
      <c r="J187" s="13">
        <f t="shared" si="5"/>
        <v>1707727.5599999996</v>
      </c>
      <c r="K187" s="13"/>
      <c r="L187" s="13">
        <f t="shared" si="8"/>
        <v>1707727.5599999996</v>
      </c>
      <c r="M187" s="13"/>
      <c r="N187" s="50"/>
      <c r="O187" s="50"/>
      <c r="P187" s="50"/>
      <c r="Q187" t="s">
        <v>46</v>
      </c>
    </row>
    <row r="188" spans="1:17" hidden="1">
      <c r="A188" s="52" t="s">
        <v>67</v>
      </c>
      <c r="B188" s="49" t="s">
        <v>233</v>
      </c>
      <c r="C188" t="s">
        <v>274</v>
      </c>
      <c r="D188" t="s">
        <v>9</v>
      </c>
      <c r="E188" s="13">
        <v>138699.65999999997</v>
      </c>
      <c r="F188" s="13">
        <v>376815.31</v>
      </c>
      <c r="G188" s="13"/>
      <c r="H188" s="13">
        <f t="shared" si="4"/>
        <v>515514.97</v>
      </c>
      <c r="I188" s="13"/>
      <c r="J188" s="13">
        <f t="shared" si="5"/>
        <v>515514.97</v>
      </c>
      <c r="K188" s="13"/>
      <c r="L188" s="13">
        <f t="shared" si="8"/>
        <v>515514.97</v>
      </c>
      <c r="M188" s="13"/>
      <c r="N188" s="50"/>
      <c r="O188" s="50"/>
      <c r="P188" s="50"/>
      <c r="Q188" t="s">
        <v>45</v>
      </c>
    </row>
    <row r="189" spans="1:17" hidden="1">
      <c r="A189" s="52" t="s">
        <v>67</v>
      </c>
      <c r="B189" s="49" t="s">
        <v>233</v>
      </c>
      <c r="C189" t="s">
        <v>275</v>
      </c>
      <c r="D189" t="s">
        <v>9</v>
      </c>
      <c r="E189" s="13">
        <v>184806.66000000009</v>
      </c>
      <c r="F189" s="13">
        <v>-39368.930000000008</v>
      </c>
      <c r="G189" s="13"/>
      <c r="H189" s="13">
        <f t="shared" si="4"/>
        <v>145437.7300000001</v>
      </c>
      <c r="I189" s="13"/>
      <c r="J189" s="13">
        <f t="shared" si="5"/>
        <v>145437.7300000001</v>
      </c>
      <c r="K189" s="13"/>
      <c r="L189" s="13">
        <f t="shared" si="8"/>
        <v>145437.7300000001</v>
      </c>
      <c r="M189" s="13"/>
      <c r="N189" s="50"/>
      <c r="O189" s="50"/>
      <c r="P189" s="50"/>
      <c r="Q189" t="s">
        <v>45</v>
      </c>
    </row>
    <row r="190" spans="1:17" hidden="1">
      <c r="A190" s="52" t="s">
        <v>67</v>
      </c>
      <c r="B190" s="49" t="s">
        <v>233</v>
      </c>
      <c r="C190" t="s">
        <v>276</v>
      </c>
      <c r="D190" t="s">
        <v>9</v>
      </c>
      <c r="E190" s="13"/>
      <c r="F190" s="13">
        <v>21353.700000000004</v>
      </c>
      <c r="G190" s="13"/>
      <c r="H190" s="13">
        <f t="shared" si="4"/>
        <v>21353.700000000004</v>
      </c>
      <c r="I190" s="13"/>
      <c r="J190" s="13">
        <f t="shared" si="5"/>
        <v>21353.700000000004</v>
      </c>
      <c r="K190" s="13"/>
      <c r="L190" s="13">
        <f t="shared" si="8"/>
        <v>21353.700000000004</v>
      </c>
      <c r="M190" s="13"/>
      <c r="N190" s="50"/>
      <c r="O190" s="50"/>
      <c r="P190" s="50"/>
      <c r="Q190" t="s">
        <v>45</v>
      </c>
    </row>
    <row r="191" spans="1:17" hidden="1">
      <c r="A191" s="52" t="s">
        <v>67</v>
      </c>
      <c r="B191" s="49" t="s">
        <v>233</v>
      </c>
      <c r="C191" t="s">
        <v>277</v>
      </c>
      <c r="D191" t="s">
        <v>9</v>
      </c>
      <c r="E191" s="13">
        <v>1303.0999999999985</v>
      </c>
      <c r="F191" s="13">
        <v>-25000</v>
      </c>
      <c r="G191" s="13"/>
      <c r="H191" s="13">
        <f t="shared" si="4"/>
        <v>-23696.9</v>
      </c>
      <c r="I191" s="13"/>
      <c r="J191" s="13">
        <f t="shared" si="5"/>
        <v>-23696.9</v>
      </c>
      <c r="K191" s="13"/>
      <c r="L191" s="13">
        <f t="shared" si="8"/>
        <v>-23696.9</v>
      </c>
      <c r="M191" s="13"/>
      <c r="N191" s="50"/>
      <c r="O191" s="50"/>
      <c r="P191" s="50"/>
      <c r="Q191" t="s">
        <v>45</v>
      </c>
    </row>
    <row r="192" spans="1:17" hidden="1">
      <c r="A192" s="52" t="s">
        <v>67</v>
      </c>
      <c r="B192" s="49" t="s">
        <v>233</v>
      </c>
      <c r="C192" t="s">
        <v>278</v>
      </c>
      <c r="D192" t="s">
        <v>9</v>
      </c>
      <c r="E192" s="13">
        <v>29515.31</v>
      </c>
      <c r="F192" s="13"/>
      <c r="G192" s="13"/>
      <c r="H192" s="13">
        <f t="shared" si="4"/>
        <v>29515.31</v>
      </c>
      <c r="I192" s="13"/>
      <c r="J192" s="13">
        <f t="shared" si="5"/>
        <v>29515.31</v>
      </c>
      <c r="K192" s="13"/>
      <c r="L192" s="13">
        <f t="shared" si="8"/>
        <v>29515.31</v>
      </c>
      <c r="M192" s="13"/>
      <c r="N192" s="50"/>
      <c r="O192" s="50"/>
      <c r="P192" s="50"/>
      <c r="Q192" t="s">
        <v>45</v>
      </c>
    </row>
    <row r="193" spans="1:17" hidden="1">
      <c r="A193" s="52" t="s">
        <v>67</v>
      </c>
      <c r="B193" s="49" t="s">
        <v>233</v>
      </c>
      <c r="C193" t="s">
        <v>279</v>
      </c>
      <c r="D193" t="s">
        <v>9</v>
      </c>
      <c r="E193" s="13"/>
      <c r="F193" s="13">
        <v>59396.659999999989</v>
      </c>
      <c r="G193" s="13"/>
      <c r="H193" s="13">
        <f t="shared" si="4"/>
        <v>59396.659999999989</v>
      </c>
      <c r="I193" s="13"/>
      <c r="J193" s="13">
        <f t="shared" si="5"/>
        <v>59396.659999999989</v>
      </c>
      <c r="K193" s="13"/>
      <c r="L193" s="13">
        <f t="shared" si="8"/>
        <v>59396.659999999989</v>
      </c>
      <c r="M193" s="13"/>
      <c r="N193" s="50"/>
      <c r="O193" s="50"/>
      <c r="P193" s="50"/>
      <c r="Q193" t="s">
        <v>45</v>
      </c>
    </row>
    <row r="194" spans="1:17" hidden="1">
      <c r="A194" s="52" t="s">
        <v>67</v>
      </c>
      <c r="B194" s="49" t="s">
        <v>233</v>
      </c>
      <c r="C194" t="s">
        <v>280</v>
      </c>
      <c r="D194" t="s">
        <v>9</v>
      </c>
      <c r="E194" s="13">
        <v>213953.78999999998</v>
      </c>
      <c r="F194" s="13"/>
      <c r="G194" s="13"/>
      <c r="H194" s="13">
        <f t="shared" ref="H194:H257" si="9">+SUM(E194:G194)</f>
        <v>213953.78999999998</v>
      </c>
      <c r="I194" s="13"/>
      <c r="J194" s="13">
        <f t="shared" ref="J194:J257" si="10">+I194+H194</f>
        <v>213953.78999999998</v>
      </c>
      <c r="K194" s="13"/>
      <c r="L194" s="13">
        <f t="shared" si="8"/>
        <v>213953.78999999998</v>
      </c>
      <c r="M194" s="13"/>
      <c r="N194" s="50"/>
      <c r="O194" s="50"/>
      <c r="P194" s="50"/>
      <c r="Q194" t="s">
        <v>45</v>
      </c>
    </row>
    <row r="195" spans="1:17" hidden="1">
      <c r="A195" s="52" t="s">
        <v>67</v>
      </c>
      <c r="B195" s="49" t="s">
        <v>233</v>
      </c>
      <c r="C195" t="s">
        <v>281</v>
      </c>
      <c r="D195" t="s">
        <v>9</v>
      </c>
      <c r="E195" s="13">
        <v>467833.2</v>
      </c>
      <c r="F195" s="13">
        <v>1907567.9800000009</v>
      </c>
      <c r="G195" s="13"/>
      <c r="H195" s="13">
        <f t="shared" si="9"/>
        <v>2375401.1800000011</v>
      </c>
      <c r="I195" s="13"/>
      <c r="J195" s="13">
        <f t="shared" si="10"/>
        <v>2375401.1800000011</v>
      </c>
      <c r="K195" s="13"/>
      <c r="L195" s="13">
        <f t="shared" si="8"/>
        <v>2375401.1800000011</v>
      </c>
      <c r="M195" s="13"/>
      <c r="N195" s="50"/>
      <c r="O195" s="50"/>
      <c r="P195" s="50"/>
      <c r="Q195" t="s">
        <v>45</v>
      </c>
    </row>
    <row r="196" spans="1:17" hidden="1">
      <c r="A196" s="52" t="s">
        <v>67</v>
      </c>
      <c r="B196" s="49" t="s">
        <v>233</v>
      </c>
      <c r="C196" t="s">
        <v>282</v>
      </c>
      <c r="D196" t="s">
        <v>9</v>
      </c>
      <c r="E196" s="13"/>
      <c r="F196" s="13"/>
      <c r="G196" s="13">
        <v>800000</v>
      </c>
      <c r="H196" s="13">
        <f t="shared" si="9"/>
        <v>800000</v>
      </c>
      <c r="I196" s="13"/>
      <c r="J196" s="13">
        <f t="shared" si="10"/>
        <v>800000</v>
      </c>
      <c r="K196" s="13"/>
      <c r="L196" s="13">
        <f t="shared" si="8"/>
        <v>800000</v>
      </c>
      <c r="M196" s="13"/>
      <c r="N196" s="50"/>
      <c r="O196" s="50"/>
      <c r="P196" s="50"/>
      <c r="Q196" t="s">
        <v>45</v>
      </c>
    </row>
    <row r="197" spans="1:17" hidden="1">
      <c r="A197" s="52" t="s">
        <v>67</v>
      </c>
      <c r="B197" s="49" t="s">
        <v>233</v>
      </c>
      <c r="C197" t="s">
        <v>283</v>
      </c>
      <c r="D197" t="s">
        <v>9</v>
      </c>
      <c r="E197" s="13"/>
      <c r="F197" s="13">
        <v>24664.22</v>
      </c>
      <c r="G197" s="13"/>
      <c r="H197" s="13">
        <f t="shared" si="9"/>
        <v>24664.22</v>
      </c>
      <c r="I197" s="13">
        <v>25000</v>
      </c>
      <c r="J197" s="13">
        <f t="shared" si="10"/>
        <v>49664.22</v>
      </c>
      <c r="K197" s="13"/>
      <c r="L197" s="13">
        <f t="shared" si="8"/>
        <v>49664.22</v>
      </c>
      <c r="M197" s="13"/>
      <c r="N197" s="50"/>
      <c r="O197" s="50"/>
      <c r="P197" s="50"/>
      <c r="Q197" t="s">
        <v>45</v>
      </c>
    </row>
    <row r="198" spans="1:17" hidden="1">
      <c r="A198" s="52" t="s">
        <v>67</v>
      </c>
      <c r="B198" s="49" t="s">
        <v>233</v>
      </c>
      <c r="C198" t="s">
        <v>284</v>
      </c>
      <c r="D198" t="s">
        <v>9</v>
      </c>
      <c r="E198" s="13"/>
      <c r="F198" s="13">
        <v>464505.28</v>
      </c>
      <c r="G198" s="13">
        <v>1365662</v>
      </c>
      <c r="H198" s="13">
        <f t="shared" si="9"/>
        <v>1830167.28</v>
      </c>
      <c r="I198" s="13"/>
      <c r="J198" s="13">
        <f t="shared" si="10"/>
        <v>1830167.28</v>
      </c>
      <c r="K198" s="13"/>
      <c r="L198" s="13">
        <f t="shared" si="8"/>
        <v>1830167.28</v>
      </c>
      <c r="M198" s="13"/>
      <c r="N198" s="50"/>
      <c r="O198" s="50"/>
      <c r="P198" s="50"/>
      <c r="Q198" t="s">
        <v>45</v>
      </c>
    </row>
    <row r="199" spans="1:17" hidden="1">
      <c r="A199" s="52" t="s">
        <v>67</v>
      </c>
      <c r="B199" s="49" t="s">
        <v>233</v>
      </c>
      <c r="C199" t="s">
        <v>285</v>
      </c>
      <c r="D199" t="s">
        <v>9</v>
      </c>
      <c r="E199" s="13">
        <v>-32022.149999999987</v>
      </c>
      <c r="F199" s="13"/>
      <c r="G199" s="13"/>
      <c r="H199" s="13">
        <f t="shared" si="9"/>
        <v>-32022.149999999987</v>
      </c>
      <c r="I199" s="13"/>
      <c r="J199" s="13">
        <f t="shared" si="10"/>
        <v>-32022.149999999987</v>
      </c>
      <c r="K199" s="13"/>
      <c r="L199" s="13">
        <f t="shared" si="8"/>
        <v>-32022.149999999987</v>
      </c>
      <c r="M199" s="13"/>
      <c r="N199" s="50"/>
      <c r="O199" s="50"/>
      <c r="P199" s="50"/>
      <c r="Q199" t="s">
        <v>45</v>
      </c>
    </row>
    <row r="200" spans="1:17" hidden="1">
      <c r="A200" s="52" t="s">
        <v>67</v>
      </c>
      <c r="B200" s="49" t="s">
        <v>233</v>
      </c>
      <c r="C200" t="s">
        <v>286</v>
      </c>
      <c r="D200" t="s">
        <v>9</v>
      </c>
      <c r="E200" s="13">
        <v>-18814.07</v>
      </c>
      <c r="F200" s="13">
        <v>-15737.01</v>
      </c>
      <c r="G200" s="13"/>
      <c r="H200" s="13">
        <f t="shared" si="9"/>
        <v>-34551.08</v>
      </c>
      <c r="I200" s="13"/>
      <c r="J200" s="13">
        <f t="shared" si="10"/>
        <v>-34551.08</v>
      </c>
      <c r="K200" s="13"/>
      <c r="L200" s="13">
        <f t="shared" si="8"/>
        <v>-34551.08</v>
      </c>
      <c r="M200" s="13"/>
      <c r="N200" s="50"/>
      <c r="O200" s="50"/>
      <c r="P200" s="50"/>
      <c r="Q200" t="s">
        <v>42</v>
      </c>
    </row>
    <row r="201" spans="1:17" hidden="1">
      <c r="A201" s="52" t="s">
        <v>67</v>
      </c>
      <c r="B201" s="49" t="s">
        <v>233</v>
      </c>
      <c r="C201" t="s">
        <v>287</v>
      </c>
      <c r="D201" t="s">
        <v>9</v>
      </c>
      <c r="E201" s="13">
        <v>-183232.65000000014</v>
      </c>
      <c r="F201" s="13">
        <v>-206213</v>
      </c>
      <c r="G201" s="13"/>
      <c r="H201" s="13">
        <f t="shared" si="9"/>
        <v>-389445.65000000014</v>
      </c>
      <c r="I201" s="13"/>
      <c r="J201" s="13">
        <f t="shared" si="10"/>
        <v>-389445.65000000014</v>
      </c>
      <c r="K201" s="13"/>
      <c r="L201" s="13">
        <f t="shared" si="8"/>
        <v>-389445.65000000014</v>
      </c>
      <c r="M201" s="13"/>
      <c r="N201" s="50"/>
      <c r="O201" s="50"/>
      <c r="P201" s="50"/>
      <c r="Q201" t="s">
        <v>42</v>
      </c>
    </row>
    <row r="202" spans="1:17" hidden="1">
      <c r="A202" s="52" t="s">
        <v>67</v>
      </c>
      <c r="B202" s="49" t="s">
        <v>233</v>
      </c>
      <c r="C202" t="s">
        <v>288</v>
      </c>
      <c r="D202" t="s">
        <v>9</v>
      </c>
      <c r="E202" s="13">
        <v>2946335.810000001</v>
      </c>
      <c r="F202" s="13">
        <v>1353753.1899999997</v>
      </c>
      <c r="G202" s="13"/>
      <c r="H202" s="13">
        <f t="shared" si="9"/>
        <v>4300089.0000000009</v>
      </c>
      <c r="I202" s="13"/>
      <c r="J202" s="13">
        <f t="shared" si="10"/>
        <v>4300089.0000000009</v>
      </c>
      <c r="K202" s="13"/>
      <c r="L202" s="13">
        <f t="shared" si="8"/>
        <v>4300089.0000000009</v>
      </c>
      <c r="M202" s="13"/>
      <c r="N202" s="50"/>
      <c r="O202" s="50"/>
      <c r="P202" s="50"/>
      <c r="Q202" t="s">
        <v>42</v>
      </c>
    </row>
    <row r="203" spans="1:17" hidden="1">
      <c r="A203" s="52" t="s">
        <v>67</v>
      </c>
      <c r="B203" s="49" t="s">
        <v>233</v>
      </c>
      <c r="C203" t="s">
        <v>289</v>
      </c>
      <c r="D203" t="s">
        <v>9</v>
      </c>
      <c r="E203" s="13"/>
      <c r="F203" s="13">
        <v>3158923.7400000007</v>
      </c>
      <c r="G203" s="13"/>
      <c r="H203" s="13">
        <f t="shared" si="9"/>
        <v>3158923.7400000007</v>
      </c>
      <c r="I203" s="13"/>
      <c r="J203" s="13">
        <f t="shared" si="10"/>
        <v>3158923.7400000007</v>
      </c>
      <c r="K203" s="13"/>
      <c r="L203" s="13">
        <f t="shared" si="8"/>
        <v>3158923.7400000007</v>
      </c>
      <c r="M203" s="13"/>
      <c r="N203" s="50"/>
      <c r="O203" s="50"/>
      <c r="P203" s="50"/>
      <c r="Q203" t="s">
        <v>42</v>
      </c>
    </row>
    <row r="204" spans="1:17" hidden="1">
      <c r="A204" s="52" t="s">
        <v>67</v>
      </c>
      <c r="B204" s="49" t="s">
        <v>233</v>
      </c>
      <c r="C204" t="s">
        <v>290</v>
      </c>
      <c r="D204" t="s">
        <v>9</v>
      </c>
      <c r="E204" s="13"/>
      <c r="F204" s="13"/>
      <c r="G204" s="13">
        <v>1700000</v>
      </c>
      <c r="H204" s="13">
        <f t="shared" si="9"/>
        <v>1700000</v>
      </c>
      <c r="I204" s="13"/>
      <c r="J204" s="13">
        <f t="shared" si="10"/>
        <v>1700000</v>
      </c>
      <c r="K204" s="13"/>
      <c r="L204" s="13">
        <f t="shared" si="8"/>
        <v>1700000</v>
      </c>
      <c r="M204" s="13"/>
      <c r="N204" s="50"/>
      <c r="O204" s="50"/>
      <c r="P204" s="50"/>
      <c r="Q204" t="s">
        <v>42</v>
      </c>
    </row>
    <row r="205" spans="1:17" hidden="1">
      <c r="A205" s="52" t="s">
        <v>67</v>
      </c>
      <c r="B205" s="49" t="s">
        <v>233</v>
      </c>
      <c r="C205" t="s">
        <v>291</v>
      </c>
      <c r="D205" t="s">
        <v>9</v>
      </c>
      <c r="E205" s="13">
        <v>63050.470000000008</v>
      </c>
      <c r="F205" s="13"/>
      <c r="G205" s="13"/>
      <c r="H205" s="13">
        <f t="shared" si="9"/>
        <v>63050.470000000008</v>
      </c>
      <c r="I205" s="13"/>
      <c r="J205" s="13">
        <f t="shared" si="10"/>
        <v>63050.470000000008</v>
      </c>
      <c r="K205" s="13"/>
      <c r="L205" s="13">
        <f t="shared" si="8"/>
        <v>63050.470000000008</v>
      </c>
      <c r="M205" s="13"/>
      <c r="N205" s="50"/>
      <c r="O205" s="50"/>
      <c r="P205" s="50"/>
      <c r="Q205" t="s">
        <v>42</v>
      </c>
    </row>
    <row r="206" spans="1:17" hidden="1">
      <c r="A206" s="52" t="s">
        <v>67</v>
      </c>
      <c r="B206" s="49" t="s">
        <v>233</v>
      </c>
      <c r="C206" t="s">
        <v>292</v>
      </c>
      <c r="D206" t="s">
        <v>9</v>
      </c>
      <c r="E206" s="13"/>
      <c r="F206" s="13">
        <v>605941.84999999986</v>
      </c>
      <c r="G206" s="13"/>
      <c r="H206" s="13">
        <f t="shared" si="9"/>
        <v>605941.84999999986</v>
      </c>
      <c r="I206" s="13"/>
      <c r="J206" s="13">
        <f t="shared" si="10"/>
        <v>605941.84999999986</v>
      </c>
      <c r="K206" s="13"/>
      <c r="L206" s="13">
        <f t="shared" si="8"/>
        <v>605941.84999999986</v>
      </c>
      <c r="M206" s="13"/>
      <c r="N206" s="50"/>
      <c r="O206" s="50"/>
      <c r="P206" s="50"/>
      <c r="Q206" t="s">
        <v>45</v>
      </c>
    </row>
    <row r="207" spans="1:17" hidden="1">
      <c r="A207" s="52" t="s">
        <v>67</v>
      </c>
      <c r="B207" s="49" t="s">
        <v>233</v>
      </c>
      <c r="C207" t="s">
        <v>293</v>
      </c>
      <c r="D207" t="s">
        <v>9</v>
      </c>
      <c r="E207" s="13"/>
      <c r="F207" s="13"/>
      <c r="G207" s="13"/>
      <c r="H207" s="13">
        <f t="shared" si="9"/>
        <v>0</v>
      </c>
      <c r="I207" s="13">
        <v>500000</v>
      </c>
      <c r="J207" s="13">
        <f t="shared" si="10"/>
        <v>500000</v>
      </c>
      <c r="K207" s="13"/>
      <c r="L207" s="13">
        <f t="shared" si="8"/>
        <v>500000</v>
      </c>
      <c r="M207" s="13"/>
      <c r="N207" s="50"/>
      <c r="O207" s="50"/>
      <c r="P207" s="50"/>
      <c r="Q207" t="s">
        <v>45</v>
      </c>
    </row>
    <row r="208" spans="1:17" hidden="1">
      <c r="A208" s="52" t="s">
        <v>67</v>
      </c>
      <c r="B208" s="49" t="s">
        <v>233</v>
      </c>
      <c r="C208" t="s">
        <v>294</v>
      </c>
      <c r="D208" t="s">
        <v>9</v>
      </c>
      <c r="E208" s="13">
        <v>1950756.1199999996</v>
      </c>
      <c r="F208" s="13">
        <v>79024.7</v>
      </c>
      <c r="G208" s="13"/>
      <c r="H208" s="13">
        <f t="shared" si="9"/>
        <v>2029780.8199999996</v>
      </c>
      <c r="I208" s="13"/>
      <c r="J208" s="13">
        <f t="shared" si="10"/>
        <v>2029780.8199999996</v>
      </c>
      <c r="K208" s="13"/>
      <c r="L208" s="13">
        <f t="shared" si="8"/>
        <v>2029780.8199999996</v>
      </c>
      <c r="M208" s="13"/>
      <c r="N208" s="50"/>
      <c r="O208" s="50"/>
      <c r="P208" s="50"/>
      <c r="Q208" t="s">
        <v>45</v>
      </c>
    </row>
    <row r="209" spans="1:17" hidden="1">
      <c r="A209" s="52" t="s">
        <v>67</v>
      </c>
      <c r="B209" s="49" t="s">
        <v>233</v>
      </c>
      <c r="C209" t="s">
        <v>295</v>
      </c>
      <c r="D209" t="s">
        <v>9</v>
      </c>
      <c r="E209" s="13"/>
      <c r="F209" s="13"/>
      <c r="G209" s="13"/>
      <c r="H209" s="13">
        <f t="shared" si="9"/>
        <v>0</v>
      </c>
      <c r="I209" s="13">
        <v>250000</v>
      </c>
      <c r="J209" s="13">
        <f t="shared" si="10"/>
        <v>250000</v>
      </c>
      <c r="K209" s="13"/>
      <c r="L209" s="13">
        <f t="shared" si="8"/>
        <v>250000</v>
      </c>
      <c r="M209" s="13"/>
      <c r="N209" s="50"/>
      <c r="O209" s="50"/>
      <c r="P209" s="50"/>
      <c r="Q209" t="s">
        <v>45</v>
      </c>
    </row>
    <row r="210" spans="1:17" hidden="1">
      <c r="A210" s="52" t="s">
        <v>67</v>
      </c>
      <c r="B210" s="49" t="s">
        <v>233</v>
      </c>
      <c r="C210" t="s">
        <v>296</v>
      </c>
      <c r="D210" t="s">
        <v>9</v>
      </c>
      <c r="E210" s="13">
        <v>15929.339999999998</v>
      </c>
      <c r="F210" s="13">
        <v>74657.36</v>
      </c>
      <c r="G210" s="13"/>
      <c r="H210" s="13">
        <f t="shared" si="9"/>
        <v>90586.7</v>
      </c>
      <c r="I210" s="13">
        <v>354951.95999999996</v>
      </c>
      <c r="J210" s="13">
        <f t="shared" si="10"/>
        <v>445538.66</v>
      </c>
      <c r="K210" s="13"/>
      <c r="L210" s="13">
        <f t="shared" si="8"/>
        <v>445538.66</v>
      </c>
      <c r="M210" s="13"/>
      <c r="N210" s="50"/>
      <c r="O210" s="50"/>
      <c r="P210" s="50"/>
      <c r="Q210" t="s">
        <v>45</v>
      </c>
    </row>
    <row r="211" spans="1:17" hidden="1">
      <c r="A211" s="52" t="s">
        <v>67</v>
      </c>
      <c r="B211" s="49" t="s">
        <v>233</v>
      </c>
      <c r="C211" t="s">
        <v>297</v>
      </c>
      <c r="D211" t="s">
        <v>9</v>
      </c>
      <c r="E211" s="13">
        <v>136104.75999999998</v>
      </c>
      <c r="F211" s="13">
        <v>211287.35000000003</v>
      </c>
      <c r="G211" s="13"/>
      <c r="H211" s="13">
        <f t="shared" si="9"/>
        <v>347392.11</v>
      </c>
      <c r="I211" s="13"/>
      <c r="J211" s="13">
        <f t="shared" si="10"/>
        <v>347392.11</v>
      </c>
      <c r="K211" s="13"/>
      <c r="L211" s="13">
        <f t="shared" si="8"/>
        <v>347392.11</v>
      </c>
      <c r="M211" s="13"/>
      <c r="N211" s="50"/>
      <c r="O211" s="50"/>
      <c r="P211" s="50"/>
      <c r="Q211" t="s">
        <v>45</v>
      </c>
    </row>
    <row r="212" spans="1:17" hidden="1">
      <c r="A212" s="52" t="s">
        <v>67</v>
      </c>
      <c r="B212" s="49" t="s">
        <v>233</v>
      </c>
      <c r="C212" t="s">
        <v>298</v>
      </c>
      <c r="D212" t="s">
        <v>9</v>
      </c>
      <c r="E212" s="13"/>
      <c r="F212" s="13">
        <v>46983.130000000005</v>
      </c>
      <c r="G212" s="13"/>
      <c r="H212" s="13">
        <f t="shared" si="9"/>
        <v>46983.130000000005</v>
      </c>
      <c r="I212" s="13"/>
      <c r="J212" s="13">
        <f t="shared" si="10"/>
        <v>46983.130000000005</v>
      </c>
      <c r="K212" s="13"/>
      <c r="L212" s="13">
        <f t="shared" si="8"/>
        <v>46983.130000000005</v>
      </c>
      <c r="M212" s="13"/>
      <c r="N212" s="50"/>
      <c r="O212" s="50"/>
      <c r="P212" s="50"/>
      <c r="Q212" t="s">
        <v>46</v>
      </c>
    </row>
    <row r="213" spans="1:17" hidden="1">
      <c r="A213" s="52" t="s">
        <v>67</v>
      </c>
      <c r="B213" s="49" t="s">
        <v>233</v>
      </c>
      <c r="C213" t="s">
        <v>299</v>
      </c>
      <c r="D213" t="s">
        <v>31</v>
      </c>
      <c r="E213" s="13">
        <v>888707.45000000007</v>
      </c>
      <c r="F213" s="13">
        <v>2711052.4</v>
      </c>
      <c r="G213" s="13"/>
      <c r="H213" s="13">
        <f t="shared" si="9"/>
        <v>3599759.85</v>
      </c>
      <c r="I213" s="13"/>
      <c r="J213" s="13">
        <f t="shared" si="10"/>
        <v>3599759.85</v>
      </c>
      <c r="K213" s="13"/>
      <c r="L213" s="13"/>
      <c r="M213" s="13"/>
      <c r="N213" s="50"/>
      <c r="O213" s="50"/>
      <c r="P213" s="50"/>
      <c r="Q213" t="s">
        <v>41</v>
      </c>
    </row>
    <row r="214" spans="1:17" hidden="1">
      <c r="A214" s="52" t="s">
        <v>67</v>
      </c>
      <c r="B214" s="49" t="s">
        <v>233</v>
      </c>
      <c r="C214" t="s">
        <v>300</v>
      </c>
      <c r="D214" t="s">
        <v>31</v>
      </c>
      <c r="E214" s="13"/>
      <c r="F214" s="13">
        <v>343954.31</v>
      </c>
      <c r="G214" s="13"/>
      <c r="H214" s="13">
        <f t="shared" si="9"/>
        <v>343954.31</v>
      </c>
      <c r="I214" s="13"/>
      <c r="J214" s="13">
        <f t="shared" si="10"/>
        <v>343954.31</v>
      </c>
      <c r="K214" s="13"/>
      <c r="L214" s="13"/>
      <c r="M214" s="13"/>
      <c r="N214" s="50"/>
      <c r="O214" s="50"/>
      <c r="P214" s="50"/>
      <c r="Q214" t="s">
        <v>41</v>
      </c>
    </row>
    <row r="215" spans="1:17" hidden="1">
      <c r="A215" s="52" t="s">
        <v>67</v>
      </c>
      <c r="B215" s="49" t="s">
        <v>233</v>
      </c>
      <c r="C215" t="s">
        <v>301</v>
      </c>
      <c r="D215" t="s">
        <v>9</v>
      </c>
      <c r="E215" s="13">
        <v>96415.250000000058</v>
      </c>
      <c r="F215" s="13">
        <v>1816541.4699999995</v>
      </c>
      <c r="G215" s="13"/>
      <c r="H215" s="13">
        <f t="shared" si="9"/>
        <v>1912956.7199999995</v>
      </c>
      <c r="I215" s="13"/>
      <c r="J215" s="13">
        <f t="shared" si="10"/>
        <v>1912956.7199999995</v>
      </c>
      <c r="K215" s="13"/>
      <c r="L215" s="13">
        <f t="shared" ref="L215:L216" si="11">+K215+J215</f>
        <v>1912956.7199999995</v>
      </c>
      <c r="M215" s="13"/>
      <c r="N215" s="50"/>
      <c r="O215" s="50"/>
      <c r="P215" s="50"/>
      <c r="Q215" t="s">
        <v>45</v>
      </c>
    </row>
    <row r="216" spans="1:17" hidden="1">
      <c r="A216" s="52" t="s">
        <v>67</v>
      </c>
      <c r="B216" s="49" t="s">
        <v>233</v>
      </c>
      <c r="C216" t="s">
        <v>302</v>
      </c>
      <c r="D216" t="s">
        <v>9</v>
      </c>
      <c r="E216" s="13">
        <v>1256978.5899999996</v>
      </c>
      <c r="F216" s="13">
        <v>1549664.4300000002</v>
      </c>
      <c r="G216" s="13"/>
      <c r="H216" s="13">
        <f t="shared" si="9"/>
        <v>2806643.0199999996</v>
      </c>
      <c r="I216" s="13"/>
      <c r="J216" s="13">
        <f t="shared" si="10"/>
        <v>2806643.0199999996</v>
      </c>
      <c r="K216" s="13"/>
      <c r="L216" s="13">
        <f t="shared" si="11"/>
        <v>2806643.0199999996</v>
      </c>
      <c r="M216" s="13"/>
      <c r="N216" s="50"/>
      <c r="O216" s="50"/>
      <c r="P216" s="50"/>
      <c r="Q216" t="s">
        <v>45</v>
      </c>
    </row>
    <row r="217" spans="1:17" hidden="1">
      <c r="A217" s="52" t="s">
        <v>67</v>
      </c>
      <c r="B217" s="49" t="s">
        <v>233</v>
      </c>
      <c r="C217" t="s">
        <v>303</v>
      </c>
      <c r="D217" t="s">
        <v>31</v>
      </c>
      <c r="E217" s="13">
        <v>14079.080000000002</v>
      </c>
      <c r="F217" s="13">
        <v>298577.07</v>
      </c>
      <c r="G217" s="13"/>
      <c r="H217" s="13">
        <f t="shared" si="9"/>
        <v>312656.15000000002</v>
      </c>
      <c r="I217" s="13"/>
      <c r="J217" s="13">
        <f t="shared" si="10"/>
        <v>312656.15000000002</v>
      </c>
      <c r="K217" s="13"/>
      <c r="L217" s="13"/>
      <c r="M217" s="13"/>
      <c r="N217" s="50"/>
      <c r="O217" s="50"/>
      <c r="P217" s="50"/>
      <c r="Q217" t="s">
        <v>41</v>
      </c>
    </row>
    <row r="218" spans="1:17" hidden="1">
      <c r="A218" s="52" t="s">
        <v>67</v>
      </c>
      <c r="B218" s="49" t="s">
        <v>233</v>
      </c>
      <c r="C218" t="s">
        <v>304</v>
      </c>
      <c r="D218" t="s">
        <v>9</v>
      </c>
      <c r="E218" s="13"/>
      <c r="F218" s="13">
        <v>249055.81</v>
      </c>
      <c r="G218" s="13">
        <v>165000</v>
      </c>
      <c r="H218" s="13">
        <f t="shared" si="9"/>
        <v>414055.81</v>
      </c>
      <c r="I218" s="13"/>
      <c r="J218" s="13">
        <f t="shared" si="10"/>
        <v>414055.81</v>
      </c>
      <c r="K218" s="13"/>
      <c r="L218" s="13">
        <f t="shared" ref="L218:L230" si="12">+K218+J218</f>
        <v>414055.81</v>
      </c>
      <c r="M218" s="13"/>
      <c r="N218" s="50"/>
      <c r="O218" s="50"/>
      <c r="P218" s="50"/>
      <c r="Q218" t="s">
        <v>45</v>
      </c>
    </row>
    <row r="219" spans="1:17" hidden="1">
      <c r="A219" s="52" t="s">
        <v>67</v>
      </c>
      <c r="B219" s="49" t="s">
        <v>233</v>
      </c>
      <c r="C219" t="s">
        <v>305</v>
      </c>
      <c r="D219" t="s">
        <v>9</v>
      </c>
      <c r="E219" s="13"/>
      <c r="F219" s="13"/>
      <c r="G219" s="13">
        <v>200000</v>
      </c>
      <c r="H219" s="13">
        <f t="shared" si="9"/>
        <v>200000</v>
      </c>
      <c r="I219" s="13"/>
      <c r="J219" s="13">
        <f t="shared" si="10"/>
        <v>200000</v>
      </c>
      <c r="K219" s="13"/>
      <c r="L219" s="13">
        <f t="shared" si="12"/>
        <v>200000</v>
      </c>
      <c r="M219" s="13"/>
      <c r="N219" s="50"/>
      <c r="O219" s="50"/>
      <c r="P219" s="50"/>
      <c r="Q219" t="s">
        <v>45</v>
      </c>
    </row>
    <row r="220" spans="1:17" hidden="1">
      <c r="A220" s="52" t="s">
        <v>67</v>
      </c>
      <c r="B220" s="49" t="s">
        <v>233</v>
      </c>
      <c r="C220" t="s">
        <v>306</v>
      </c>
      <c r="D220" t="s">
        <v>9</v>
      </c>
      <c r="E220" s="13">
        <v>2.1800000000000002</v>
      </c>
      <c r="F220" s="13"/>
      <c r="G220" s="13"/>
      <c r="H220" s="13">
        <f t="shared" si="9"/>
        <v>2.1800000000000002</v>
      </c>
      <c r="I220" s="13"/>
      <c r="J220" s="13">
        <f t="shared" si="10"/>
        <v>2.1800000000000002</v>
      </c>
      <c r="K220" s="13"/>
      <c r="L220" s="13">
        <f t="shared" si="12"/>
        <v>2.1800000000000002</v>
      </c>
      <c r="M220" s="13"/>
      <c r="N220" s="50"/>
      <c r="O220" s="50"/>
      <c r="P220" s="50"/>
      <c r="Q220" t="s">
        <v>45</v>
      </c>
    </row>
    <row r="221" spans="1:17" hidden="1">
      <c r="A221" s="52" t="s">
        <v>67</v>
      </c>
      <c r="B221" s="49" t="s">
        <v>233</v>
      </c>
      <c r="C221" t="s">
        <v>307</v>
      </c>
      <c r="D221" t="s">
        <v>9</v>
      </c>
      <c r="E221" s="13">
        <v>42498.810000000005</v>
      </c>
      <c r="F221" s="13"/>
      <c r="G221" s="13"/>
      <c r="H221" s="13">
        <f t="shared" si="9"/>
        <v>42498.810000000005</v>
      </c>
      <c r="I221" s="13"/>
      <c r="J221" s="13">
        <f t="shared" si="10"/>
        <v>42498.810000000005</v>
      </c>
      <c r="K221" s="13"/>
      <c r="L221" s="13">
        <f t="shared" si="12"/>
        <v>42498.810000000005</v>
      </c>
      <c r="M221" s="13"/>
      <c r="N221" s="50"/>
      <c r="O221" s="50"/>
      <c r="P221" s="50"/>
      <c r="Q221" t="s">
        <v>45</v>
      </c>
    </row>
    <row r="222" spans="1:17" hidden="1">
      <c r="A222" s="52" t="s">
        <v>67</v>
      </c>
      <c r="B222" s="49" t="s">
        <v>233</v>
      </c>
      <c r="C222" t="s">
        <v>308</v>
      </c>
      <c r="D222" t="s">
        <v>9</v>
      </c>
      <c r="E222" s="13"/>
      <c r="F222" s="13">
        <v>299085.98</v>
      </c>
      <c r="G222" s="13">
        <v>95000</v>
      </c>
      <c r="H222" s="13">
        <f t="shared" si="9"/>
        <v>394085.98</v>
      </c>
      <c r="I222" s="13">
        <v>900000</v>
      </c>
      <c r="J222" s="13">
        <f t="shared" si="10"/>
        <v>1294085.98</v>
      </c>
      <c r="K222" s="13"/>
      <c r="L222" s="13">
        <f t="shared" si="12"/>
        <v>1294085.98</v>
      </c>
      <c r="M222" s="13"/>
      <c r="N222" s="50"/>
      <c r="O222" s="50"/>
      <c r="P222" s="50"/>
      <c r="Q222" t="s">
        <v>45</v>
      </c>
    </row>
    <row r="223" spans="1:17" hidden="1">
      <c r="A223" s="52" t="s">
        <v>67</v>
      </c>
      <c r="B223" s="49" t="s">
        <v>233</v>
      </c>
      <c r="C223" t="s">
        <v>309</v>
      </c>
      <c r="D223" t="s">
        <v>9</v>
      </c>
      <c r="E223" s="13">
        <v>-14636.19000000001</v>
      </c>
      <c r="F223" s="13"/>
      <c r="G223" s="13"/>
      <c r="H223" s="13">
        <f t="shared" si="9"/>
        <v>-14636.19000000001</v>
      </c>
      <c r="I223" s="13"/>
      <c r="J223" s="13">
        <f t="shared" si="10"/>
        <v>-14636.19000000001</v>
      </c>
      <c r="K223" s="13"/>
      <c r="L223" s="13">
        <f t="shared" si="12"/>
        <v>-14636.19000000001</v>
      </c>
      <c r="M223" s="13"/>
      <c r="N223" s="50"/>
      <c r="O223" s="50"/>
      <c r="P223" s="50"/>
      <c r="Q223" t="s">
        <v>46</v>
      </c>
    </row>
    <row r="224" spans="1:17" hidden="1">
      <c r="A224" s="52" t="s">
        <v>67</v>
      </c>
      <c r="B224" s="49" t="s">
        <v>233</v>
      </c>
      <c r="C224" t="s">
        <v>310</v>
      </c>
      <c r="D224" t="s">
        <v>9</v>
      </c>
      <c r="E224" s="13">
        <v>35351.130000000005</v>
      </c>
      <c r="F224" s="13">
        <v>55857.340000000011</v>
      </c>
      <c r="G224" s="13"/>
      <c r="H224" s="13">
        <f t="shared" si="9"/>
        <v>91208.470000000016</v>
      </c>
      <c r="I224" s="13">
        <v>1933489.2</v>
      </c>
      <c r="J224" s="13">
        <f t="shared" si="10"/>
        <v>2024697.67</v>
      </c>
      <c r="K224" s="13"/>
      <c r="L224" s="13">
        <f t="shared" si="12"/>
        <v>2024697.67</v>
      </c>
      <c r="M224" s="13"/>
      <c r="N224" s="50"/>
      <c r="O224" s="50"/>
      <c r="P224" s="50"/>
      <c r="Q224" t="s">
        <v>45</v>
      </c>
    </row>
    <row r="225" spans="1:17" hidden="1">
      <c r="A225" s="52" t="s">
        <v>67</v>
      </c>
      <c r="B225" s="49" t="s">
        <v>233</v>
      </c>
      <c r="C225" t="s">
        <v>311</v>
      </c>
      <c r="D225" t="s">
        <v>9</v>
      </c>
      <c r="E225" s="13">
        <v>-31233.74</v>
      </c>
      <c r="F225" s="13">
        <v>89406.34</v>
      </c>
      <c r="G225" s="13"/>
      <c r="H225" s="13">
        <f t="shared" si="9"/>
        <v>58172.599999999991</v>
      </c>
      <c r="I225" s="13"/>
      <c r="J225" s="13">
        <f t="shared" si="10"/>
        <v>58172.599999999991</v>
      </c>
      <c r="K225" s="13"/>
      <c r="L225" s="13">
        <f t="shared" si="12"/>
        <v>58172.599999999991</v>
      </c>
      <c r="M225" s="13"/>
      <c r="N225" s="50"/>
      <c r="O225" s="50"/>
      <c r="P225" s="50"/>
      <c r="Q225" t="s">
        <v>46</v>
      </c>
    </row>
    <row r="226" spans="1:17" hidden="1">
      <c r="A226" s="52" t="s">
        <v>67</v>
      </c>
      <c r="B226" s="49" t="s">
        <v>233</v>
      </c>
      <c r="C226" t="s">
        <v>312</v>
      </c>
      <c r="D226" t="s">
        <v>9</v>
      </c>
      <c r="E226" s="13"/>
      <c r="F226" s="13"/>
      <c r="G226" s="13"/>
      <c r="H226" s="13">
        <f t="shared" si="9"/>
        <v>0</v>
      </c>
      <c r="I226" s="13">
        <v>100000</v>
      </c>
      <c r="J226" s="13">
        <f t="shared" si="10"/>
        <v>100000</v>
      </c>
      <c r="K226" s="13"/>
      <c r="L226" s="13">
        <f t="shared" si="12"/>
        <v>100000</v>
      </c>
      <c r="M226" s="13"/>
      <c r="N226" s="50"/>
      <c r="O226" s="50"/>
      <c r="P226" s="50"/>
      <c r="Q226" t="s">
        <v>45</v>
      </c>
    </row>
    <row r="227" spans="1:17" hidden="1">
      <c r="A227" s="52" t="s">
        <v>67</v>
      </c>
      <c r="B227" s="49" t="s">
        <v>233</v>
      </c>
      <c r="C227" t="s">
        <v>313</v>
      </c>
      <c r="D227" t="s">
        <v>9</v>
      </c>
      <c r="E227" s="13">
        <v>93627.93</v>
      </c>
      <c r="F227" s="13">
        <v>281594.71000000008</v>
      </c>
      <c r="G227" s="13"/>
      <c r="H227" s="13">
        <f t="shared" si="9"/>
        <v>375222.64000000007</v>
      </c>
      <c r="I227" s="13"/>
      <c r="J227" s="13">
        <f t="shared" si="10"/>
        <v>375222.64000000007</v>
      </c>
      <c r="K227" s="13"/>
      <c r="L227" s="13">
        <f t="shared" si="12"/>
        <v>375222.64000000007</v>
      </c>
      <c r="M227" s="13"/>
      <c r="N227" s="50"/>
      <c r="O227" s="50"/>
      <c r="P227" s="50"/>
      <c r="Q227" t="s">
        <v>45</v>
      </c>
    </row>
    <row r="228" spans="1:17" hidden="1">
      <c r="A228" s="52" t="s">
        <v>67</v>
      </c>
      <c r="B228" s="49" t="s">
        <v>233</v>
      </c>
      <c r="C228" t="s">
        <v>314</v>
      </c>
      <c r="D228" t="s">
        <v>9</v>
      </c>
      <c r="E228" s="13">
        <v>88611.630000000019</v>
      </c>
      <c r="F228" s="13">
        <v>281623.17999999993</v>
      </c>
      <c r="G228" s="13"/>
      <c r="H228" s="13">
        <f t="shared" si="9"/>
        <v>370234.80999999994</v>
      </c>
      <c r="I228" s="13"/>
      <c r="J228" s="13">
        <f t="shared" si="10"/>
        <v>370234.80999999994</v>
      </c>
      <c r="K228" s="13"/>
      <c r="L228" s="13">
        <f t="shared" si="12"/>
        <v>370234.80999999994</v>
      </c>
      <c r="M228" s="13"/>
      <c r="N228" s="50"/>
      <c r="O228" s="50"/>
      <c r="P228" s="50"/>
      <c r="Q228" t="s">
        <v>45</v>
      </c>
    </row>
    <row r="229" spans="1:17" hidden="1">
      <c r="A229" s="52" t="s">
        <v>67</v>
      </c>
      <c r="B229" s="49" t="s">
        <v>233</v>
      </c>
      <c r="C229" t="s">
        <v>315</v>
      </c>
      <c r="D229" t="s">
        <v>9</v>
      </c>
      <c r="E229" s="13">
        <v>117501.63000000003</v>
      </c>
      <c r="F229" s="13">
        <v>248324.6700000001</v>
      </c>
      <c r="G229" s="13"/>
      <c r="H229" s="13">
        <f t="shared" si="9"/>
        <v>365826.30000000016</v>
      </c>
      <c r="I229" s="13"/>
      <c r="J229" s="13">
        <f t="shared" si="10"/>
        <v>365826.30000000016</v>
      </c>
      <c r="K229" s="13"/>
      <c r="L229" s="13">
        <f t="shared" si="12"/>
        <v>365826.30000000016</v>
      </c>
      <c r="M229" s="13"/>
      <c r="N229" s="50"/>
      <c r="O229" s="50"/>
      <c r="P229" s="50"/>
      <c r="Q229" t="s">
        <v>45</v>
      </c>
    </row>
    <row r="230" spans="1:17" hidden="1">
      <c r="A230" s="52" t="s">
        <v>67</v>
      </c>
      <c r="B230" s="49" t="s">
        <v>233</v>
      </c>
      <c r="C230" t="s">
        <v>316</v>
      </c>
      <c r="D230" t="s">
        <v>9</v>
      </c>
      <c r="E230" s="13">
        <v>86374.67</v>
      </c>
      <c r="F230" s="13">
        <v>296811.03000000003</v>
      </c>
      <c r="G230" s="13"/>
      <c r="H230" s="13">
        <f t="shared" si="9"/>
        <v>383185.7</v>
      </c>
      <c r="I230" s="13"/>
      <c r="J230" s="13">
        <f t="shared" si="10"/>
        <v>383185.7</v>
      </c>
      <c r="K230" s="13"/>
      <c r="L230" s="13">
        <f t="shared" si="12"/>
        <v>383185.7</v>
      </c>
      <c r="M230" s="13"/>
      <c r="N230" s="50"/>
      <c r="O230" s="50"/>
      <c r="P230" s="50"/>
      <c r="Q230" t="s">
        <v>45</v>
      </c>
    </row>
    <row r="231" spans="1:17" hidden="1">
      <c r="A231" s="52" t="s">
        <v>67</v>
      </c>
      <c r="B231" s="49" t="s">
        <v>233</v>
      </c>
      <c r="C231" t="s">
        <v>317</v>
      </c>
      <c r="D231" t="s">
        <v>31</v>
      </c>
      <c r="E231" s="13">
        <v>-110622.36000000003</v>
      </c>
      <c r="F231" s="13">
        <v>-347554</v>
      </c>
      <c r="G231" s="13"/>
      <c r="H231" s="13">
        <f t="shared" si="9"/>
        <v>-458176.36000000004</v>
      </c>
      <c r="I231" s="13"/>
      <c r="J231" s="13">
        <f t="shared" si="10"/>
        <v>-458176.36000000004</v>
      </c>
      <c r="K231" s="13"/>
      <c r="L231" s="13"/>
      <c r="M231" s="13"/>
      <c r="N231" s="50"/>
      <c r="O231" s="50"/>
      <c r="P231" s="50"/>
      <c r="Q231" t="s">
        <v>41</v>
      </c>
    </row>
    <row r="232" spans="1:17" hidden="1">
      <c r="A232" s="52" t="s">
        <v>67</v>
      </c>
      <c r="B232" s="49" t="s">
        <v>233</v>
      </c>
      <c r="C232" t="s">
        <v>318</v>
      </c>
      <c r="D232" t="s">
        <v>9</v>
      </c>
      <c r="E232" s="13"/>
      <c r="F232" s="13">
        <v>-12691.54</v>
      </c>
      <c r="G232" s="13"/>
      <c r="H232" s="13">
        <f t="shared" si="9"/>
        <v>-12691.54</v>
      </c>
      <c r="I232" s="13"/>
      <c r="J232" s="13">
        <f t="shared" si="10"/>
        <v>-12691.54</v>
      </c>
      <c r="K232" s="13"/>
      <c r="L232" s="13">
        <f t="shared" ref="L232:L236" si="13">+K232+J232</f>
        <v>-12691.54</v>
      </c>
      <c r="M232" s="13"/>
      <c r="N232" s="50"/>
      <c r="O232" s="50"/>
      <c r="P232" s="50"/>
      <c r="Q232" t="s">
        <v>43</v>
      </c>
    </row>
    <row r="233" spans="1:17" hidden="1">
      <c r="A233" s="52" t="s">
        <v>67</v>
      </c>
      <c r="B233" s="49" t="s">
        <v>233</v>
      </c>
      <c r="C233" t="s">
        <v>319</v>
      </c>
      <c r="D233" t="s">
        <v>9</v>
      </c>
      <c r="E233" s="13"/>
      <c r="F233" s="13">
        <v>427001.65</v>
      </c>
      <c r="G233" s="13"/>
      <c r="H233" s="13">
        <f t="shared" si="9"/>
        <v>427001.65</v>
      </c>
      <c r="I233" s="13"/>
      <c r="J233" s="13">
        <f t="shared" si="10"/>
        <v>427001.65</v>
      </c>
      <c r="K233" s="13"/>
      <c r="L233" s="13">
        <f t="shared" si="13"/>
        <v>427001.65</v>
      </c>
      <c r="M233" s="13"/>
      <c r="N233" s="50"/>
      <c r="O233" s="50"/>
      <c r="P233" s="50"/>
      <c r="Q233" t="s">
        <v>46</v>
      </c>
    </row>
    <row r="234" spans="1:17" hidden="1">
      <c r="A234" s="52" t="s">
        <v>67</v>
      </c>
      <c r="B234" s="49" t="s">
        <v>233</v>
      </c>
      <c r="C234" t="s">
        <v>320</v>
      </c>
      <c r="D234" t="s">
        <v>9</v>
      </c>
      <c r="E234" s="13"/>
      <c r="F234" s="13">
        <v>426130.47000000003</v>
      </c>
      <c r="G234" s="13">
        <v>150000</v>
      </c>
      <c r="H234" s="13">
        <f t="shared" si="9"/>
        <v>576130.47</v>
      </c>
      <c r="I234" s="13"/>
      <c r="J234" s="13">
        <f t="shared" si="10"/>
        <v>576130.47</v>
      </c>
      <c r="K234" s="13"/>
      <c r="L234" s="13">
        <f t="shared" si="13"/>
        <v>576130.47</v>
      </c>
      <c r="M234" s="13"/>
      <c r="N234" s="50"/>
      <c r="O234" s="50"/>
      <c r="P234" s="50"/>
      <c r="Q234" t="s">
        <v>45</v>
      </c>
    </row>
    <row r="235" spans="1:17" hidden="1">
      <c r="A235" s="52" t="s">
        <v>67</v>
      </c>
      <c r="B235" s="49" t="s">
        <v>233</v>
      </c>
      <c r="C235" t="s">
        <v>321</v>
      </c>
      <c r="D235" t="s">
        <v>9</v>
      </c>
      <c r="E235" s="13">
        <v>141940.25</v>
      </c>
      <c r="F235" s="13"/>
      <c r="G235" s="13"/>
      <c r="H235" s="13">
        <f t="shared" si="9"/>
        <v>141940.25</v>
      </c>
      <c r="I235" s="13"/>
      <c r="J235" s="13">
        <f t="shared" si="10"/>
        <v>141940.25</v>
      </c>
      <c r="K235" s="13"/>
      <c r="L235" s="13">
        <f t="shared" si="13"/>
        <v>141940.25</v>
      </c>
      <c r="M235" s="13"/>
      <c r="N235" s="50"/>
      <c r="O235" s="50"/>
      <c r="P235" s="50"/>
      <c r="Q235" t="s">
        <v>42</v>
      </c>
    </row>
    <row r="236" spans="1:17" hidden="1">
      <c r="A236" s="52" t="s">
        <v>67</v>
      </c>
      <c r="B236" s="49" t="s">
        <v>233</v>
      </c>
      <c r="C236" t="s">
        <v>322</v>
      </c>
      <c r="D236" t="s">
        <v>9</v>
      </c>
      <c r="E236" s="13"/>
      <c r="F236" s="13">
        <v>1187904.06</v>
      </c>
      <c r="G236" s="13">
        <v>827413</v>
      </c>
      <c r="H236" s="13">
        <f t="shared" si="9"/>
        <v>2015317.06</v>
      </c>
      <c r="I236" s="13"/>
      <c r="J236" s="13">
        <f t="shared" si="10"/>
        <v>2015317.06</v>
      </c>
      <c r="K236" s="13"/>
      <c r="L236" s="13">
        <f t="shared" si="13"/>
        <v>2015317.06</v>
      </c>
      <c r="M236" s="13"/>
      <c r="N236" s="50"/>
      <c r="O236" s="50"/>
      <c r="P236" s="50"/>
      <c r="Q236" t="s">
        <v>46</v>
      </c>
    </row>
    <row r="237" spans="1:17" hidden="1">
      <c r="A237" s="52" t="s">
        <v>67</v>
      </c>
      <c r="B237" s="49" t="s">
        <v>233</v>
      </c>
      <c r="C237" t="s">
        <v>323</v>
      </c>
      <c r="D237" t="s">
        <v>31</v>
      </c>
      <c r="E237" s="13">
        <v>8151363.2699999996</v>
      </c>
      <c r="F237" s="13">
        <v>13959348.689999992</v>
      </c>
      <c r="G237" s="13">
        <v>4692338</v>
      </c>
      <c r="H237" s="13">
        <f t="shared" si="9"/>
        <v>26803049.959999993</v>
      </c>
      <c r="I237" s="13"/>
      <c r="J237" s="13">
        <f t="shared" si="10"/>
        <v>26803049.959999993</v>
      </c>
      <c r="K237" s="13"/>
      <c r="L237" s="13"/>
      <c r="M237" s="13"/>
      <c r="N237" s="50"/>
      <c r="O237" s="50"/>
      <c r="P237" s="50"/>
      <c r="Q237" t="s">
        <v>41</v>
      </c>
    </row>
    <row r="238" spans="1:17" hidden="1">
      <c r="A238" s="52" t="s">
        <v>67</v>
      </c>
      <c r="B238" s="49" t="s">
        <v>233</v>
      </c>
      <c r="C238" t="s">
        <v>324</v>
      </c>
      <c r="D238" t="s">
        <v>9</v>
      </c>
      <c r="E238" s="13">
        <v>1195.3600000000033</v>
      </c>
      <c r="F238" s="13">
        <v>46386.070000000007</v>
      </c>
      <c r="G238" s="13"/>
      <c r="H238" s="13">
        <f t="shared" si="9"/>
        <v>47581.430000000008</v>
      </c>
      <c r="I238" s="13"/>
      <c r="J238" s="13">
        <f t="shared" si="10"/>
        <v>47581.430000000008</v>
      </c>
      <c r="K238" s="13"/>
      <c r="L238" s="13">
        <f t="shared" ref="L238:L258" si="14">+K238+J238</f>
        <v>47581.430000000008</v>
      </c>
      <c r="M238" s="13"/>
      <c r="N238" s="50"/>
      <c r="O238" s="50"/>
      <c r="P238" s="50"/>
      <c r="Q238" t="s">
        <v>46</v>
      </c>
    </row>
    <row r="239" spans="1:17" hidden="1">
      <c r="A239" s="52" t="s">
        <v>67</v>
      </c>
      <c r="B239" s="49" t="s">
        <v>233</v>
      </c>
      <c r="C239" t="s">
        <v>325</v>
      </c>
      <c r="D239" t="s">
        <v>9</v>
      </c>
      <c r="E239" s="13"/>
      <c r="F239" s="13">
        <v>-99.78</v>
      </c>
      <c r="G239" s="13"/>
      <c r="H239" s="13">
        <f t="shared" si="9"/>
        <v>-99.78</v>
      </c>
      <c r="I239" s="13"/>
      <c r="J239" s="13">
        <f t="shared" si="10"/>
        <v>-99.78</v>
      </c>
      <c r="K239" s="13"/>
      <c r="L239" s="13">
        <f t="shared" si="14"/>
        <v>-99.78</v>
      </c>
      <c r="M239" s="13"/>
      <c r="N239" s="50"/>
      <c r="O239" s="50"/>
      <c r="P239" s="50"/>
      <c r="Q239" t="s">
        <v>46</v>
      </c>
    </row>
    <row r="240" spans="1:17" hidden="1">
      <c r="A240" s="52" t="s">
        <v>67</v>
      </c>
      <c r="B240" s="49" t="s">
        <v>233</v>
      </c>
      <c r="C240" t="s">
        <v>326</v>
      </c>
      <c r="D240" t="s">
        <v>9</v>
      </c>
      <c r="E240" s="13"/>
      <c r="F240" s="13"/>
      <c r="G240" s="13">
        <v>381164.00000000006</v>
      </c>
      <c r="H240" s="13">
        <f t="shared" si="9"/>
        <v>381164.00000000006</v>
      </c>
      <c r="I240" s="13"/>
      <c r="J240" s="13">
        <f t="shared" si="10"/>
        <v>381164.00000000006</v>
      </c>
      <c r="K240" s="13"/>
      <c r="L240" s="13">
        <f t="shared" si="14"/>
        <v>381164.00000000006</v>
      </c>
      <c r="M240" s="13"/>
      <c r="N240" s="50"/>
      <c r="O240" s="50"/>
      <c r="P240" s="50"/>
      <c r="Q240" t="s">
        <v>46</v>
      </c>
    </row>
    <row r="241" spans="1:17" hidden="1">
      <c r="A241" s="52" t="s">
        <v>67</v>
      </c>
      <c r="B241" s="49" t="s">
        <v>233</v>
      </c>
      <c r="C241" t="s">
        <v>327</v>
      </c>
      <c r="D241" t="s">
        <v>9</v>
      </c>
      <c r="E241" s="13">
        <v>1112585.8600000001</v>
      </c>
      <c r="F241" s="13">
        <v>0</v>
      </c>
      <c r="G241" s="13"/>
      <c r="H241" s="13">
        <f t="shared" si="9"/>
        <v>1112585.8600000001</v>
      </c>
      <c r="I241" s="13"/>
      <c r="J241" s="13">
        <f t="shared" si="10"/>
        <v>1112585.8600000001</v>
      </c>
      <c r="K241" s="13"/>
      <c r="L241" s="13">
        <f t="shared" si="14"/>
        <v>1112585.8600000001</v>
      </c>
      <c r="M241" s="13"/>
      <c r="N241" s="50"/>
      <c r="O241" s="50"/>
      <c r="P241" s="50"/>
      <c r="Q241" t="s">
        <v>46</v>
      </c>
    </row>
    <row r="242" spans="1:17" hidden="1">
      <c r="A242" s="52" t="s">
        <v>67</v>
      </c>
      <c r="B242" s="49" t="s">
        <v>233</v>
      </c>
      <c r="C242" t="s">
        <v>328</v>
      </c>
      <c r="D242" t="s">
        <v>9</v>
      </c>
      <c r="E242" s="13"/>
      <c r="F242" s="13">
        <v>31475.75</v>
      </c>
      <c r="G242" s="13">
        <v>187500</v>
      </c>
      <c r="H242" s="13">
        <f t="shared" si="9"/>
        <v>218975.75</v>
      </c>
      <c r="I242" s="13"/>
      <c r="J242" s="13">
        <f t="shared" si="10"/>
        <v>218975.75</v>
      </c>
      <c r="K242" s="13"/>
      <c r="L242" s="13">
        <f t="shared" si="14"/>
        <v>218975.75</v>
      </c>
      <c r="M242" s="13"/>
      <c r="N242" s="50"/>
      <c r="O242" s="50"/>
      <c r="P242" s="50"/>
      <c r="Q242" t="s">
        <v>46</v>
      </c>
    </row>
    <row r="243" spans="1:17" hidden="1">
      <c r="A243" s="52" t="s">
        <v>67</v>
      </c>
      <c r="B243" s="49" t="s">
        <v>233</v>
      </c>
      <c r="C243" t="s">
        <v>329</v>
      </c>
      <c r="D243" t="s">
        <v>9</v>
      </c>
      <c r="E243" s="13">
        <v>34886.03</v>
      </c>
      <c r="F243" s="13"/>
      <c r="G243" s="13"/>
      <c r="H243" s="13">
        <f t="shared" si="9"/>
        <v>34886.03</v>
      </c>
      <c r="I243" s="13"/>
      <c r="J243" s="13">
        <f t="shared" si="10"/>
        <v>34886.03</v>
      </c>
      <c r="K243" s="13"/>
      <c r="L243" s="13">
        <f t="shared" si="14"/>
        <v>34886.03</v>
      </c>
      <c r="M243" s="13"/>
      <c r="N243" s="50"/>
      <c r="O243" s="50"/>
      <c r="P243" s="50"/>
      <c r="Q243" t="s">
        <v>46</v>
      </c>
    </row>
    <row r="244" spans="1:17" hidden="1">
      <c r="A244" s="52" t="s">
        <v>67</v>
      </c>
      <c r="B244" s="49" t="s">
        <v>233</v>
      </c>
      <c r="C244" t="s">
        <v>330</v>
      </c>
      <c r="D244" t="s">
        <v>9</v>
      </c>
      <c r="E244" s="13"/>
      <c r="F244" s="13"/>
      <c r="G244" s="13"/>
      <c r="H244" s="13">
        <f t="shared" si="9"/>
        <v>0</v>
      </c>
      <c r="I244" s="13">
        <v>540000</v>
      </c>
      <c r="J244" s="13">
        <f t="shared" si="10"/>
        <v>540000</v>
      </c>
      <c r="K244" s="13"/>
      <c r="L244" s="13">
        <f t="shared" si="14"/>
        <v>540000</v>
      </c>
      <c r="M244" s="13"/>
      <c r="N244" s="50"/>
      <c r="O244" s="50"/>
      <c r="P244" s="50"/>
      <c r="Q244" t="s">
        <v>46</v>
      </c>
    </row>
    <row r="245" spans="1:17" hidden="1">
      <c r="A245" s="52" t="s">
        <v>67</v>
      </c>
      <c r="B245" s="49" t="s">
        <v>233</v>
      </c>
      <c r="C245" t="s">
        <v>331</v>
      </c>
      <c r="D245" t="s">
        <v>9</v>
      </c>
      <c r="E245" s="13">
        <v>8346.4500000000116</v>
      </c>
      <c r="F245" s="13"/>
      <c r="G245" s="13"/>
      <c r="H245" s="13">
        <f t="shared" si="9"/>
        <v>8346.4500000000116</v>
      </c>
      <c r="I245" s="13"/>
      <c r="J245" s="13">
        <f t="shared" si="10"/>
        <v>8346.4500000000116</v>
      </c>
      <c r="K245" s="13"/>
      <c r="L245" s="13">
        <f t="shared" si="14"/>
        <v>8346.4500000000116</v>
      </c>
      <c r="M245" s="13"/>
      <c r="N245" s="50"/>
      <c r="O245" s="50"/>
      <c r="P245" s="50"/>
      <c r="Q245" t="s">
        <v>46</v>
      </c>
    </row>
    <row r="246" spans="1:17" hidden="1">
      <c r="A246" s="52" t="s">
        <v>67</v>
      </c>
      <c r="B246" s="49" t="s">
        <v>233</v>
      </c>
      <c r="C246" t="s">
        <v>332</v>
      </c>
      <c r="D246" t="s">
        <v>9</v>
      </c>
      <c r="E246" s="13">
        <v>213623.28</v>
      </c>
      <c r="F246" s="13">
        <v>624.65999999999985</v>
      </c>
      <c r="G246" s="13"/>
      <c r="H246" s="13">
        <f t="shared" si="9"/>
        <v>214247.94</v>
      </c>
      <c r="I246" s="13"/>
      <c r="J246" s="13">
        <f t="shared" si="10"/>
        <v>214247.94</v>
      </c>
      <c r="K246" s="13"/>
      <c r="L246" s="13">
        <f t="shared" si="14"/>
        <v>214247.94</v>
      </c>
      <c r="M246" s="13"/>
      <c r="N246" s="50"/>
      <c r="O246" s="50"/>
      <c r="P246" s="50"/>
      <c r="Q246" t="s">
        <v>42</v>
      </c>
    </row>
    <row r="247" spans="1:17" hidden="1">
      <c r="A247" s="52" t="s">
        <v>67</v>
      </c>
      <c r="B247" s="49" t="s">
        <v>233</v>
      </c>
      <c r="C247" t="s">
        <v>333</v>
      </c>
      <c r="D247" t="s">
        <v>9</v>
      </c>
      <c r="E247" s="13">
        <v>3432389.9400000018</v>
      </c>
      <c r="F247" s="13">
        <v>270885.24000000028</v>
      </c>
      <c r="G247" s="13"/>
      <c r="H247" s="13">
        <f t="shared" si="9"/>
        <v>3703275.180000002</v>
      </c>
      <c r="I247" s="13">
        <v>6715887.4800000004</v>
      </c>
      <c r="J247" s="13">
        <f t="shared" si="10"/>
        <v>10419162.660000002</v>
      </c>
      <c r="K247" s="13"/>
      <c r="L247" s="13">
        <f t="shared" si="14"/>
        <v>10419162.660000002</v>
      </c>
      <c r="M247" s="13"/>
      <c r="N247" s="50"/>
      <c r="O247" s="50"/>
      <c r="P247" s="50"/>
      <c r="Q247" t="s">
        <v>42</v>
      </c>
    </row>
    <row r="248" spans="1:17" hidden="1">
      <c r="A248" s="52" t="s">
        <v>67</v>
      </c>
      <c r="B248" s="49" t="s">
        <v>233</v>
      </c>
      <c r="C248" t="s">
        <v>334</v>
      </c>
      <c r="D248" t="s">
        <v>9</v>
      </c>
      <c r="E248" s="13"/>
      <c r="F248" s="13">
        <v>2657759.5499999993</v>
      </c>
      <c r="G248" s="13"/>
      <c r="H248" s="13">
        <f t="shared" si="9"/>
        <v>2657759.5499999993</v>
      </c>
      <c r="I248" s="13"/>
      <c r="J248" s="13">
        <f t="shared" si="10"/>
        <v>2657759.5499999993</v>
      </c>
      <c r="K248" s="13"/>
      <c r="L248" s="13">
        <f t="shared" si="14"/>
        <v>2657759.5499999993</v>
      </c>
      <c r="M248" s="13"/>
      <c r="N248" s="50"/>
      <c r="O248" s="50"/>
      <c r="P248" s="50"/>
      <c r="Q248" t="s">
        <v>42</v>
      </c>
    </row>
    <row r="249" spans="1:17" hidden="1">
      <c r="A249" s="52" t="s">
        <v>67</v>
      </c>
      <c r="B249" s="49" t="s">
        <v>233</v>
      </c>
      <c r="C249" t="s">
        <v>335</v>
      </c>
      <c r="D249" t="s">
        <v>9</v>
      </c>
      <c r="E249" s="13">
        <v>-27641.22</v>
      </c>
      <c r="F249" s="13"/>
      <c r="G249" s="13"/>
      <c r="H249" s="13">
        <f t="shared" si="9"/>
        <v>-27641.22</v>
      </c>
      <c r="I249" s="13"/>
      <c r="J249" s="13">
        <f t="shared" si="10"/>
        <v>-27641.22</v>
      </c>
      <c r="K249" s="13"/>
      <c r="L249" s="13">
        <f t="shared" si="14"/>
        <v>-27641.22</v>
      </c>
      <c r="M249" s="13"/>
      <c r="N249" s="50"/>
      <c r="O249" s="50"/>
      <c r="P249" s="50"/>
      <c r="Q249" t="s">
        <v>42</v>
      </c>
    </row>
    <row r="250" spans="1:17" hidden="1">
      <c r="A250" s="52" t="s">
        <v>67</v>
      </c>
      <c r="B250" s="49" t="s">
        <v>233</v>
      </c>
      <c r="C250" t="s">
        <v>336</v>
      </c>
      <c r="D250" t="s">
        <v>9</v>
      </c>
      <c r="E250" s="13"/>
      <c r="F250" s="13"/>
      <c r="G250" s="13">
        <v>1000000</v>
      </c>
      <c r="H250" s="13">
        <f t="shared" si="9"/>
        <v>1000000</v>
      </c>
      <c r="I250" s="13"/>
      <c r="J250" s="13">
        <f t="shared" si="10"/>
        <v>1000000</v>
      </c>
      <c r="K250" s="13"/>
      <c r="L250" s="13">
        <f t="shared" si="14"/>
        <v>1000000</v>
      </c>
      <c r="M250" s="13"/>
      <c r="N250" s="50"/>
      <c r="O250" s="50"/>
      <c r="P250" s="50"/>
      <c r="Q250" t="s">
        <v>42</v>
      </c>
    </row>
    <row r="251" spans="1:17" hidden="1">
      <c r="A251" s="52" t="s">
        <v>67</v>
      </c>
      <c r="B251" s="49" t="s">
        <v>233</v>
      </c>
      <c r="C251" t="s">
        <v>337</v>
      </c>
      <c r="D251" t="s">
        <v>9</v>
      </c>
      <c r="E251" s="13"/>
      <c r="F251" s="13"/>
      <c r="G251" s="13"/>
      <c r="H251" s="13">
        <f t="shared" si="9"/>
        <v>0</v>
      </c>
      <c r="I251" s="13">
        <v>400000</v>
      </c>
      <c r="J251" s="13">
        <f t="shared" si="10"/>
        <v>400000</v>
      </c>
      <c r="K251" s="13"/>
      <c r="L251" s="13">
        <f t="shared" si="14"/>
        <v>400000</v>
      </c>
      <c r="M251" s="13"/>
      <c r="N251" s="50"/>
      <c r="O251" s="50"/>
      <c r="P251" s="50"/>
      <c r="Q251" t="s">
        <v>46</v>
      </c>
    </row>
    <row r="252" spans="1:17" hidden="1">
      <c r="A252" s="52" t="s">
        <v>67</v>
      </c>
      <c r="B252" s="49" t="s">
        <v>233</v>
      </c>
      <c r="C252" t="s">
        <v>338</v>
      </c>
      <c r="D252" t="s">
        <v>9</v>
      </c>
      <c r="E252" s="13">
        <v>683150.8600000001</v>
      </c>
      <c r="F252" s="13"/>
      <c r="G252" s="13"/>
      <c r="H252" s="13">
        <f t="shared" si="9"/>
        <v>683150.8600000001</v>
      </c>
      <c r="I252" s="13"/>
      <c r="J252" s="13">
        <f t="shared" si="10"/>
        <v>683150.8600000001</v>
      </c>
      <c r="K252" s="13"/>
      <c r="L252" s="13">
        <f t="shared" si="14"/>
        <v>683150.8600000001</v>
      </c>
      <c r="M252" s="13"/>
      <c r="N252" s="50"/>
      <c r="O252" s="50"/>
      <c r="P252" s="50"/>
      <c r="Q252" t="s">
        <v>46</v>
      </c>
    </row>
    <row r="253" spans="1:17" hidden="1">
      <c r="A253" s="52" t="s">
        <v>67</v>
      </c>
      <c r="B253" s="49" t="s">
        <v>233</v>
      </c>
      <c r="C253" t="s">
        <v>339</v>
      </c>
      <c r="D253" t="s">
        <v>9</v>
      </c>
      <c r="E253" s="13"/>
      <c r="F253" s="13">
        <v>580353.05000000005</v>
      </c>
      <c r="G253" s="13">
        <v>119947</v>
      </c>
      <c r="H253" s="13">
        <f t="shared" si="9"/>
        <v>700300.05</v>
      </c>
      <c r="I253" s="13"/>
      <c r="J253" s="13">
        <f t="shared" si="10"/>
        <v>700300.05</v>
      </c>
      <c r="K253" s="13"/>
      <c r="L253" s="13">
        <f t="shared" si="14"/>
        <v>700300.05</v>
      </c>
      <c r="M253" s="13"/>
      <c r="N253" s="50"/>
      <c r="O253" s="50"/>
      <c r="P253" s="50"/>
      <c r="Q253" t="s">
        <v>46</v>
      </c>
    </row>
    <row r="254" spans="1:17" hidden="1">
      <c r="A254" s="52" t="s">
        <v>67</v>
      </c>
      <c r="B254" s="49" t="s">
        <v>233</v>
      </c>
      <c r="C254" t="s">
        <v>340</v>
      </c>
      <c r="D254" t="s">
        <v>9</v>
      </c>
      <c r="E254" s="13"/>
      <c r="F254" s="13"/>
      <c r="G254" s="13"/>
      <c r="H254" s="13">
        <f t="shared" si="9"/>
        <v>0</v>
      </c>
      <c r="I254" s="13">
        <v>300000</v>
      </c>
      <c r="J254" s="13">
        <f t="shared" si="10"/>
        <v>300000</v>
      </c>
      <c r="K254" s="13"/>
      <c r="L254" s="13">
        <f t="shared" si="14"/>
        <v>300000</v>
      </c>
      <c r="M254" s="13"/>
      <c r="N254" s="50"/>
      <c r="O254" s="50"/>
      <c r="P254" s="50"/>
      <c r="Q254" t="s">
        <v>45</v>
      </c>
    </row>
    <row r="255" spans="1:17" hidden="1">
      <c r="A255" s="52" t="s">
        <v>67</v>
      </c>
      <c r="B255" s="49" t="s">
        <v>233</v>
      </c>
      <c r="C255" t="s">
        <v>341</v>
      </c>
      <c r="D255" t="s">
        <v>9</v>
      </c>
      <c r="E255" s="13"/>
      <c r="F255" s="13"/>
      <c r="G255" s="13">
        <v>100000</v>
      </c>
      <c r="H255" s="13">
        <f t="shared" si="9"/>
        <v>100000</v>
      </c>
      <c r="I255" s="13"/>
      <c r="J255" s="13">
        <f t="shared" si="10"/>
        <v>100000</v>
      </c>
      <c r="K255" s="13"/>
      <c r="L255" s="13">
        <f t="shared" si="14"/>
        <v>100000</v>
      </c>
      <c r="M255" s="13"/>
      <c r="N255" s="50"/>
      <c r="O255" s="50"/>
      <c r="P255" s="50"/>
      <c r="Q255" t="s">
        <v>46</v>
      </c>
    </row>
    <row r="256" spans="1:17" hidden="1">
      <c r="A256" s="52" t="s">
        <v>67</v>
      </c>
      <c r="B256" s="49" t="s">
        <v>233</v>
      </c>
      <c r="C256" t="s">
        <v>342</v>
      </c>
      <c r="D256" t="s">
        <v>9</v>
      </c>
      <c r="E256" s="13"/>
      <c r="F256" s="13">
        <v>260712.62</v>
      </c>
      <c r="G256" s="13">
        <v>239287.38</v>
      </c>
      <c r="H256" s="13">
        <f t="shared" si="9"/>
        <v>500000</v>
      </c>
      <c r="I256" s="13"/>
      <c r="J256" s="13">
        <f t="shared" si="10"/>
        <v>500000</v>
      </c>
      <c r="K256" s="13"/>
      <c r="L256" s="13">
        <f t="shared" si="14"/>
        <v>500000</v>
      </c>
      <c r="M256" s="13"/>
      <c r="N256" s="50"/>
      <c r="O256" s="50"/>
      <c r="P256" s="50"/>
      <c r="Q256" t="s">
        <v>46</v>
      </c>
    </row>
    <row r="257" spans="1:17" hidden="1">
      <c r="A257" s="52" t="s">
        <v>67</v>
      </c>
      <c r="B257" s="49" t="s">
        <v>233</v>
      </c>
      <c r="C257" t="s">
        <v>343</v>
      </c>
      <c r="D257" t="s">
        <v>9</v>
      </c>
      <c r="E257" s="13"/>
      <c r="F257" s="13">
        <v>1035605.43</v>
      </c>
      <c r="G257" s="13">
        <v>910374</v>
      </c>
      <c r="H257" s="13">
        <f t="shared" si="9"/>
        <v>1945979.4300000002</v>
      </c>
      <c r="I257" s="13"/>
      <c r="J257" s="13">
        <f t="shared" si="10"/>
        <v>1945979.4300000002</v>
      </c>
      <c r="K257" s="13"/>
      <c r="L257" s="13">
        <f t="shared" si="14"/>
        <v>1945979.4300000002</v>
      </c>
      <c r="M257" s="13"/>
      <c r="N257" s="50"/>
      <c r="O257" s="50"/>
      <c r="P257" s="50"/>
      <c r="Q257" t="s">
        <v>46</v>
      </c>
    </row>
    <row r="258" spans="1:17" hidden="1">
      <c r="A258" s="52" t="s">
        <v>67</v>
      </c>
      <c r="B258" s="49" t="s">
        <v>233</v>
      </c>
      <c r="C258" t="s">
        <v>344</v>
      </c>
      <c r="D258" t="s">
        <v>9</v>
      </c>
      <c r="E258" s="13"/>
      <c r="F258" s="13">
        <v>290778.03999999998</v>
      </c>
      <c r="G258" s="13">
        <v>59222</v>
      </c>
      <c r="H258" s="13">
        <f t="shared" ref="H258:H321" si="15">+SUM(E258:G258)</f>
        <v>350000.04</v>
      </c>
      <c r="I258" s="13"/>
      <c r="J258" s="13">
        <f t="shared" ref="J258:J321" si="16">+I258+H258</f>
        <v>350000.04</v>
      </c>
      <c r="K258" s="13"/>
      <c r="L258" s="13">
        <f t="shared" si="14"/>
        <v>350000.04</v>
      </c>
      <c r="M258" s="13"/>
      <c r="N258" s="50"/>
      <c r="O258" s="50"/>
      <c r="P258" s="50"/>
      <c r="Q258" t="s">
        <v>45</v>
      </c>
    </row>
    <row r="259" spans="1:17" hidden="1">
      <c r="A259" s="52" t="s">
        <v>67</v>
      </c>
      <c r="B259" s="49" t="s">
        <v>233</v>
      </c>
      <c r="C259" t="s">
        <v>345</v>
      </c>
      <c r="D259" t="s">
        <v>31</v>
      </c>
      <c r="E259" s="13">
        <v>4769.57</v>
      </c>
      <c r="F259" s="13"/>
      <c r="G259" s="13"/>
      <c r="H259" s="13">
        <f t="shared" si="15"/>
        <v>4769.57</v>
      </c>
      <c r="I259" s="13"/>
      <c r="J259" s="13">
        <f t="shared" si="16"/>
        <v>4769.57</v>
      </c>
      <c r="K259" s="13"/>
      <c r="L259" s="13"/>
      <c r="M259" s="13"/>
      <c r="N259" s="50"/>
      <c r="O259" s="50"/>
      <c r="P259" s="50"/>
      <c r="Q259" t="s">
        <v>41</v>
      </c>
    </row>
    <row r="260" spans="1:17" hidden="1">
      <c r="A260" s="52" t="s">
        <v>67</v>
      </c>
      <c r="B260" s="49" t="s">
        <v>233</v>
      </c>
      <c r="C260" t="s">
        <v>346</v>
      </c>
      <c r="D260" t="s">
        <v>31</v>
      </c>
      <c r="E260" s="13">
        <v>17513.02</v>
      </c>
      <c r="F260" s="13">
        <v>107345.88</v>
      </c>
      <c r="G260" s="13">
        <v>651871</v>
      </c>
      <c r="H260" s="13">
        <f t="shared" si="15"/>
        <v>776729.9</v>
      </c>
      <c r="I260" s="13"/>
      <c r="J260" s="13">
        <f t="shared" si="16"/>
        <v>776729.9</v>
      </c>
      <c r="K260" s="13"/>
      <c r="L260" s="13"/>
      <c r="M260" s="13"/>
      <c r="N260" s="50"/>
      <c r="O260" s="50"/>
      <c r="P260" s="50"/>
      <c r="Q260" t="s">
        <v>41</v>
      </c>
    </row>
    <row r="261" spans="1:17" hidden="1">
      <c r="A261" s="52" t="s">
        <v>67</v>
      </c>
      <c r="B261" s="49" t="s">
        <v>233</v>
      </c>
      <c r="C261" t="s">
        <v>347</v>
      </c>
      <c r="D261" t="s">
        <v>9</v>
      </c>
      <c r="E261" s="13">
        <v>-302580.76</v>
      </c>
      <c r="F261" s="13"/>
      <c r="G261" s="13"/>
      <c r="H261" s="13">
        <f t="shared" si="15"/>
        <v>-302580.76</v>
      </c>
      <c r="I261" s="13"/>
      <c r="J261" s="13">
        <f t="shared" si="16"/>
        <v>-302580.76</v>
      </c>
      <c r="K261" s="13"/>
      <c r="L261" s="13">
        <f t="shared" ref="L261:L269" si="17">+K261+J261</f>
        <v>-302580.76</v>
      </c>
      <c r="M261" s="13"/>
      <c r="N261" s="50"/>
      <c r="O261" s="50"/>
      <c r="P261" s="50"/>
      <c r="Q261" t="s">
        <v>46</v>
      </c>
    </row>
    <row r="262" spans="1:17" hidden="1">
      <c r="A262" s="52" t="s">
        <v>67</v>
      </c>
      <c r="B262" s="49" t="s">
        <v>233</v>
      </c>
      <c r="C262" t="s">
        <v>348</v>
      </c>
      <c r="D262" t="s">
        <v>9</v>
      </c>
      <c r="E262" s="13">
        <v>-25221.53</v>
      </c>
      <c r="F262" s="13"/>
      <c r="G262" s="13"/>
      <c r="H262" s="13">
        <f t="shared" si="15"/>
        <v>-25221.53</v>
      </c>
      <c r="I262" s="13"/>
      <c r="J262" s="13">
        <f t="shared" si="16"/>
        <v>-25221.53</v>
      </c>
      <c r="K262" s="13"/>
      <c r="L262" s="13">
        <f t="shared" si="17"/>
        <v>-25221.53</v>
      </c>
      <c r="M262" s="13"/>
      <c r="N262" s="50"/>
      <c r="O262" s="50"/>
      <c r="P262" s="50"/>
      <c r="Q262" t="s">
        <v>42</v>
      </c>
    </row>
    <row r="263" spans="1:17" hidden="1">
      <c r="A263" s="52" t="s">
        <v>67</v>
      </c>
      <c r="B263" s="49" t="s">
        <v>233</v>
      </c>
      <c r="C263" t="s">
        <v>349</v>
      </c>
      <c r="D263" t="s">
        <v>9</v>
      </c>
      <c r="E263" s="13">
        <v>-20304.179999999993</v>
      </c>
      <c r="F263" s="13"/>
      <c r="G263" s="13"/>
      <c r="H263" s="13">
        <f t="shared" si="15"/>
        <v>-20304.179999999993</v>
      </c>
      <c r="I263" s="13"/>
      <c r="J263" s="13">
        <f t="shared" si="16"/>
        <v>-20304.179999999993</v>
      </c>
      <c r="K263" s="13"/>
      <c r="L263" s="13">
        <f t="shared" si="17"/>
        <v>-20304.179999999993</v>
      </c>
      <c r="M263" s="13"/>
      <c r="N263" s="50"/>
      <c r="O263" s="50"/>
      <c r="P263" s="50"/>
      <c r="Q263" t="s">
        <v>42</v>
      </c>
    </row>
    <row r="264" spans="1:17" hidden="1">
      <c r="A264" s="52" t="s">
        <v>67</v>
      </c>
      <c r="B264" s="49" t="s">
        <v>233</v>
      </c>
      <c r="C264" t="s">
        <v>350</v>
      </c>
      <c r="D264" t="s">
        <v>9</v>
      </c>
      <c r="E264" s="13">
        <v>255563.07</v>
      </c>
      <c r="F264" s="13">
        <v>-135993.12</v>
      </c>
      <c r="G264" s="13"/>
      <c r="H264" s="13">
        <f t="shared" si="15"/>
        <v>119569.95000000001</v>
      </c>
      <c r="I264" s="13"/>
      <c r="J264" s="13">
        <f t="shared" si="16"/>
        <v>119569.95000000001</v>
      </c>
      <c r="K264" s="13"/>
      <c r="L264" s="13">
        <f t="shared" si="17"/>
        <v>119569.95000000001</v>
      </c>
      <c r="M264" s="13"/>
      <c r="N264" s="50"/>
      <c r="O264" s="50"/>
      <c r="P264" s="50"/>
      <c r="Q264" t="s">
        <v>42</v>
      </c>
    </row>
    <row r="265" spans="1:17" hidden="1">
      <c r="A265" s="52" t="s">
        <v>67</v>
      </c>
      <c r="B265" s="49" t="s">
        <v>233</v>
      </c>
      <c r="C265" t="s">
        <v>351</v>
      </c>
      <c r="D265" t="s">
        <v>9</v>
      </c>
      <c r="E265" s="13"/>
      <c r="F265" s="13">
        <v>43090</v>
      </c>
      <c r="G265" s="13"/>
      <c r="H265" s="13">
        <f t="shared" si="15"/>
        <v>43090</v>
      </c>
      <c r="I265" s="13"/>
      <c r="J265" s="13">
        <f t="shared" si="16"/>
        <v>43090</v>
      </c>
      <c r="K265" s="13"/>
      <c r="L265" s="13">
        <f t="shared" si="17"/>
        <v>43090</v>
      </c>
      <c r="M265" s="13"/>
      <c r="N265" s="50"/>
      <c r="O265" s="50"/>
      <c r="P265" s="50"/>
      <c r="Q265" t="s">
        <v>42</v>
      </c>
    </row>
    <row r="266" spans="1:17" hidden="1">
      <c r="A266" s="52" t="s">
        <v>67</v>
      </c>
      <c r="B266" s="49" t="s">
        <v>233</v>
      </c>
      <c r="C266" t="s">
        <v>352</v>
      </c>
      <c r="D266" t="s">
        <v>9</v>
      </c>
      <c r="E266" s="13"/>
      <c r="F266" s="13"/>
      <c r="G266" s="13">
        <v>300000</v>
      </c>
      <c r="H266" s="13">
        <f t="shared" si="15"/>
        <v>300000</v>
      </c>
      <c r="I266" s="13"/>
      <c r="J266" s="13">
        <f t="shared" si="16"/>
        <v>300000</v>
      </c>
      <c r="K266" s="13"/>
      <c r="L266" s="13">
        <f t="shared" si="17"/>
        <v>300000</v>
      </c>
      <c r="M266" s="13"/>
      <c r="N266" s="50"/>
      <c r="O266" s="50"/>
      <c r="P266" s="50"/>
      <c r="Q266" t="s">
        <v>42</v>
      </c>
    </row>
    <row r="267" spans="1:17" hidden="1">
      <c r="A267" s="52" t="s">
        <v>67</v>
      </c>
      <c r="B267" s="49" t="s">
        <v>233</v>
      </c>
      <c r="C267" t="s">
        <v>353</v>
      </c>
      <c r="D267" t="s">
        <v>9</v>
      </c>
      <c r="E267" s="13">
        <v>1964.07</v>
      </c>
      <c r="F267" s="13"/>
      <c r="G267" s="13"/>
      <c r="H267" s="13">
        <f t="shared" si="15"/>
        <v>1964.07</v>
      </c>
      <c r="I267" s="13"/>
      <c r="J267" s="13">
        <f t="shared" si="16"/>
        <v>1964.07</v>
      </c>
      <c r="K267" s="13"/>
      <c r="L267" s="13">
        <f t="shared" si="17"/>
        <v>1964.07</v>
      </c>
      <c r="M267" s="13"/>
      <c r="N267" s="50"/>
      <c r="O267" s="50"/>
      <c r="P267" s="50"/>
      <c r="Q267" t="s">
        <v>46</v>
      </c>
    </row>
    <row r="268" spans="1:17" hidden="1">
      <c r="A268" s="52" t="s">
        <v>67</v>
      </c>
      <c r="B268" s="49" t="s">
        <v>233</v>
      </c>
      <c r="C268" t="s">
        <v>354</v>
      </c>
      <c r="D268" t="s">
        <v>9</v>
      </c>
      <c r="E268" s="13">
        <v>2185137.1400000006</v>
      </c>
      <c r="F268" s="13">
        <v>4305419.84</v>
      </c>
      <c r="G268" s="13">
        <v>5249004</v>
      </c>
      <c r="H268" s="13">
        <f t="shared" si="15"/>
        <v>11739560.98</v>
      </c>
      <c r="I268" s="13">
        <v>5773904.4000000004</v>
      </c>
      <c r="J268" s="13">
        <f t="shared" si="16"/>
        <v>17513465.380000003</v>
      </c>
      <c r="K268" s="13"/>
      <c r="L268" s="13">
        <f t="shared" si="17"/>
        <v>17513465.380000003</v>
      </c>
      <c r="M268" s="13"/>
      <c r="N268" s="50"/>
      <c r="O268" s="50"/>
      <c r="P268" s="50"/>
      <c r="Q268" t="s">
        <v>45</v>
      </c>
    </row>
    <row r="269" spans="1:17" hidden="1">
      <c r="A269" s="52" t="s">
        <v>67</v>
      </c>
      <c r="B269" s="49" t="s">
        <v>233</v>
      </c>
      <c r="C269" t="s">
        <v>355</v>
      </c>
      <c r="D269" t="s">
        <v>9</v>
      </c>
      <c r="E269" s="13"/>
      <c r="F269" s="13">
        <v>122057.09999999998</v>
      </c>
      <c r="G269" s="13">
        <v>248385</v>
      </c>
      <c r="H269" s="13">
        <f t="shared" si="15"/>
        <v>370442.1</v>
      </c>
      <c r="I269" s="13">
        <v>1000000</v>
      </c>
      <c r="J269" s="13">
        <f t="shared" si="16"/>
        <v>1370442.1</v>
      </c>
      <c r="K269" s="13"/>
      <c r="L269" s="13">
        <f t="shared" si="17"/>
        <v>1370442.1</v>
      </c>
      <c r="M269" s="13"/>
      <c r="N269" s="50"/>
      <c r="O269" s="50"/>
      <c r="P269" s="50"/>
      <c r="Q269" t="s">
        <v>45</v>
      </c>
    </row>
    <row r="270" spans="1:17" hidden="1">
      <c r="A270" s="52" t="s">
        <v>67</v>
      </c>
      <c r="B270" s="49" t="s">
        <v>233</v>
      </c>
      <c r="C270" t="s">
        <v>356</v>
      </c>
      <c r="D270" t="s">
        <v>31</v>
      </c>
      <c r="E270" s="13">
        <v>616766.84</v>
      </c>
      <c r="F270" s="13">
        <v>-113552.63999999998</v>
      </c>
      <c r="G270" s="13"/>
      <c r="H270" s="13">
        <f t="shared" si="15"/>
        <v>503214.19999999995</v>
      </c>
      <c r="I270" s="13"/>
      <c r="J270" s="13">
        <f t="shared" si="16"/>
        <v>503214.19999999995</v>
      </c>
      <c r="K270" s="13"/>
      <c r="L270" s="13"/>
      <c r="M270" s="13"/>
      <c r="N270" s="50"/>
      <c r="O270" s="50"/>
      <c r="P270" s="50"/>
      <c r="Q270" t="s">
        <v>41</v>
      </c>
    </row>
    <row r="271" spans="1:17" hidden="1">
      <c r="A271" s="52" t="s">
        <v>67</v>
      </c>
      <c r="B271" s="49" t="s">
        <v>233</v>
      </c>
      <c r="C271" t="s">
        <v>357</v>
      </c>
      <c r="D271" t="s">
        <v>9</v>
      </c>
      <c r="E271" s="13">
        <v>624382.87</v>
      </c>
      <c r="F271" s="13">
        <v>300891.88999999996</v>
      </c>
      <c r="G271" s="13"/>
      <c r="H271" s="13">
        <f t="shared" si="15"/>
        <v>925274.76</v>
      </c>
      <c r="I271" s="13"/>
      <c r="J271" s="13">
        <f t="shared" si="16"/>
        <v>925274.76</v>
      </c>
      <c r="K271" s="13"/>
      <c r="L271" s="13">
        <f t="shared" ref="L271:L281" si="18">+K271+J271</f>
        <v>925274.76</v>
      </c>
      <c r="M271" s="13"/>
      <c r="N271" s="50"/>
      <c r="O271" s="50"/>
      <c r="P271" s="50"/>
      <c r="Q271" t="s">
        <v>45</v>
      </c>
    </row>
    <row r="272" spans="1:17" hidden="1">
      <c r="A272" s="52" t="s">
        <v>67</v>
      </c>
      <c r="B272" s="49" t="s">
        <v>233</v>
      </c>
      <c r="C272" t="s">
        <v>358</v>
      </c>
      <c r="D272" t="s">
        <v>9</v>
      </c>
      <c r="E272" s="13"/>
      <c r="F272" s="13">
        <v>513887.8000000001</v>
      </c>
      <c r="G272" s="13"/>
      <c r="H272" s="13">
        <f t="shared" si="15"/>
        <v>513887.8000000001</v>
      </c>
      <c r="I272" s="13"/>
      <c r="J272" s="13">
        <f t="shared" si="16"/>
        <v>513887.8000000001</v>
      </c>
      <c r="K272" s="13"/>
      <c r="L272" s="13">
        <f t="shared" si="18"/>
        <v>513887.8000000001</v>
      </c>
      <c r="M272" s="13"/>
      <c r="N272" s="50"/>
      <c r="O272" s="50"/>
      <c r="P272" s="50"/>
      <c r="Q272" t="s">
        <v>42</v>
      </c>
    </row>
    <row r="273" spans="1:17" hidden="1">
      <c r="A273" s="52" t="s">
        <v>67</v>
      </c>
      <c r="B273" s="49" t="s">
        <v>233</v>
      </c>
      <c r="C273" t="s">
        <v>359</v>
      </c>
      <c r="D273" t="s">
        <v>9</v>
      </c>
      <c r="E273" s="13">
        <v>176071.53</v>
      </c>
      <c r="F273" s="13">
        <v>5641.9000000000015</v>
      </c>
      <c r="G273" s="13"/>
      <c r="H273" s="13">
        <f t="shared" si="15"/>
        <v>181713.43</v>
      </c>
      <c r="I273" s="13"/>
      <c r="J273" s="13">
        <f t="shared" si="16"/>
        <v>181713.43</v>
      </c>
      <c r="K273" s="13"/>
      <c r="L273" s="13">
        <f t="shared" si="18"/>
        <v>181713.43</v>
      </c>
      <c r="M273" s="13"/>
      <c r="N273" s="50"/>
      <c r="O273" s="50"/>
      <c r="P273" s="50"/>
      <c r="Q273" t="s">
        <v>42</v>
      </c>
    </row>
    <row r="274" spans="1:17" hidden="1">
      <c r="A274" s="52" t="s">
        <v>67</v>
      </c>
      <c r="B274" s="49" t="s">
        <v>233</v>
      </c>
      <c r="C274" t="s">
        <v>360</v>
      </c>
      <c r="D274" t="s">
        <v>9</v>
      </c>
      <c r="E274" s="13"/>
      <c r="F274" s="13"/>
      <c r="G274" s="13">
        <v>350000</v>
      </c>
      <c r="H274" s="13">
        <f t="shared" si="15"/>
        <v>350000</v>
      </c>
      <c r="I274" s="13"/>
      <c r="J274" s="13">
        <f t="shared" si="16"/>
        <v>350000</v>
      </c>
      <c r="K274" s="13"/>
      <c r="L274" s="13">
        <f t="shared" si="18"/>
        <v>350000</v>
      </c>
      <c r="M274" s="13"/>
      <c r="N274" s="50"/>
      <c r="O274" s="50"/>
      <c r="P274" s="50"/>
      <c r="Q274" t="s">
        <v>42</v>
      </c>
    </row>
    <row r="275" spans="1:17" hidden="1">
      <c r="A275" s="52" t="s">
        <v>67</v>
      </c>
      <c r="B275" s="49" t="s">
        <v>233</v>
      </c>
      <c r="C275" t="s">
        <v>361</v>
      </c>
      <c r="D275" t="s">
        <v>9</v>
      </c>
      <c r="E275" s="13"/>
      <c r="F275" s="13"/>
      <c r="G275" s="13">
        <v>50000</v>
      </c>
      <c r="H275" s="13">
        <f t="shared" si="15"/>
        <v>50000</v>
      </c>
      <c r="I275" s="13">
        <v>400000</v>
      </c>
      <c r="J275" s="13">
        <f t="shared" si="16"/>
        <v>450000</v>
      </c>
      <c r="K275" s="13"/>
      <c r="L275" s="13">
        <f t="shared" si="18"/>
        <v>450000</v>
      </c>
      <c r="M275" s="13"/>
      <c r="N275" s="50"/>
      <c r="O275" s="50"/>
      <c r="P275" s="50"/>
      <c r="Q275" t="s">
        <v>45</v>
      </c>
    </row>
    <row r="276" spans="1:17" hidden="1">
      <c r="A276" s="52" t="s">
        <v>67</v>
      </c>
      <c r="B276" s="49" t="s">
        <v>233</v>
      </c>
      <c r="C276" t="s">
        <v>362</v>
      </c>
      <c r="D276" t="s">
        <v>9</v>
      </c>
      <c r="E276" s="13"/>
      <c r="F276" s="13">
        <v>205383.80000000002</v>
      </c>
      <c r="G276" s="13"/>
      <c r="H276" s="13">
        <f t="shared" si="15"/>
        <v>205383.80000000002</v>
      </c>
      <c r="I276" s="13"/>
      <c r="J276" s="13">
        <f t="shared" si="16"/>
        <v>205383.80000000002</v>
      </c>
      <c r="K276" s="13"/>
      <c r="L276" s="13">
        <f t="shared" si="18"/>
        <v>205383.80000000002</v>
      </c>
      <c r="M276" s="13"/>
      <c r="N276" s="50"/>
      <c r="O276" s="50"/>
      <c r="P276" s="50"/>
      <c r="Q276" t="s">
        <v>42</v>
      </c>
    </row>
    <row r="277" spans="1:17" hidden="1">
      <c r="A277" s="52" t="s">
        <v>67</v>
      </c>
      <c r="B277" s="49" t="s">
        <v>233</v>
      </c>
      <c r="C277" t="s">
        <v>363</v>
      </c>
      <c r="D277" t="s">
        <v>9</v>
      </c>
      <c r="E277" s="13">
        <v>35769.599999999999</v>
      </c>
      <c r="F277" s="13">
        <v>-35769.599999999999</v>
      </c>
      <c r="G277" s="13"/>
      <c r="H277" s="13">
        <f t="shared" si="15"/>
        <v>0</v>
      </c>
      <c r="I277" s="13"/>
      <c r="J277" s="13">
        <f t="shared" si="16"/>
        <v>0</v>
      </c>
      <c r="K277" s="13"/>
      <c r="L277" s="13">
        <f t="shared" si="18"/>
        <v>0</v>
      </c>
      <c r="M277" s="13"/>
      <c r="N277" s="50"/>
      <c r="O277" s="50"/>
      <c r="P277" s="50"/>
      <c r="Q277" t="s">
        <v>42</v>
      </c>
    </row>
    <row r="278" spans="1:17" hidden="1">
      <c r="A278" s="52" t="s">
        <v>67</v>
      </c>
      <c r="B278" s="49" t="s">
        <v>233</v>
      </c>
      <c r="C278" t="s">
        <v>364</v>
      </c>
      <c r="D278" t="s">
        <v>9</v>
      </c>
      <c r="E278" s="13"/>
      <c r="F278" s="13"/>
      <c r="G278" s="13">
        <v>350000</v>
      </c>
      <c r="H278" s="13">
        <f t="shared" si="15"/>
        <v>350000</v>
      </c>
      <c r="I278" s="13"/>
      <c r="J278" s="13">
        <f t="shared" si="16"/>
        <v>350000</v>
      </c>
      <c r="K278" s="13"/>
      <c r="L278" s="13">
        <f t="shared" si="18"/>
        <v>350000</v>
      </c>
      <c r="M278" s="13"/>
      <c r="N278" s="50"/>
      <c r="O278" s="50"/>
      <c r="P278" s="50"/>
      <c r="Q278" t="s">
        <v>42</v>
      </c>
    </row>
    <row r="279" spans="1:17" hidden="1">
      <c r="A279" s="52" t="s">
        <v>67</v>
      </c>
      <c r="B279" s="49" t="s">
        <v>233</v>
      </c>
      <c r="C279" t="s">
        <v>365</v>
      </c>
      <c r="D279" t="s">
        <v>9</v>
      </c>
      <c r="E279" s="13"/>
      <c r="F279" s="13">
        <v>26618.66</v>
      </c>
      <c r="G279" s="13">
        <v>10000</v>
      </c>
      <c r="H279" s="13">
        <f t="shared" si="15"/>
        <v>36618.660000000003</v>
      </c>
      <c r="I279" s="13"/>
      <c r="J279" s="13">
        <f t="shared" si="16"/>
        <v>36618.660000000003</v>
      </c>
      <c r="K279" s="13"/>
      <c r="L279" s="13">
        <f t="shared" si="18"/>
        <v>36618.660000000003</v>
      </c>
      <c r="M279" s="13"/>
      <c r="N279" s="50"/>
      <c r="O279" s="50"/>
      <c r="P279" s="50"/>
      <c r="Q279" t="s">
        <v>45</v>
      </c>
    </row>
    <row r="280" spans="1:17" hidden="1">
      <c r="A280" s="52" t="s">
        <v>67</v>
      </c>
      <c r="B280" s="49" t="s">
        <v>233</v>
      </c>
      <c r="C280" t="s">
        <v>366</v>
      </c>
      <c r="D280" t="s">
        <v>9</v>
      </c>
      <c r="E280" s="13"/>
      <c r="F280" s="13">
        <v>118489.64</v>
      </c>
      <c r="G280" s="13"/>
      <c r="H280" s="13">
        <f t="shared" si="15"/>
        <v>118489.64</v>
      </c>
      <c r="I280" s="13"/>
      <c r="J280" s="13">
        <f t="shared" si="16"/>
        <v>118489.64</v>
      </c>
      <c r="K280" s="13"/>
      <c r="L280" s="13">
        <f t="shared" si="18"/>
        <v>118489.64</v>
      </c>
      <c r="M280" s="13"/>
      <c r="N280" s="50"/>
      <c r="O280" s="50"/>
      <c r="P280" s="50"/>
      <c r="Q280" t="s">
        <v>42</v>
      </c>
    </row>
    <row r="281" spans="1:17" hidden="1">
      <c r="A281" s="52" t="s">
        <v>67</v>
      </c>
      <c r="B281" s="49" t="s">
        <v>233</v>
      </c>
      <c r="C281" t="s">
        <v>367</v>
      </c>
      <c r="D281" t="s">
        <v>9</v>
      </c>
      <c r="E281" s="13"/>
      <c r="F281" s="13"/>
      <c r="G281" s="13">
        <v>350000</v>
      </c>
      <c r="H281" s="13">
        <f t="shared" si="15"/>
        <v>350000</v>
      </c>
      <c r="I281" s="13"/>
      <c r="J281" s="13">
        <f t="shared" si="16"/>
        <v>350000</v>
      </c>
      <c r="K281" s="13"/>
      <c r="L281" s="13">
        <f t="shared" si="18"/>
        <v>350000</v>
      </c>
      <c r="M281" s="13"/>
      <c r="N281" s="50"/>
      <c r="O281" s="50"/>
      <c r="P281" s="50"/>
      <c r="Q281" t="s">
        <v>42</v>
      </c>
    </row>
    <row r="282" spans="1:17" hidden="1">
      <c r="A282" s="52" t="s">
        <v>67</v>
      </c>
      <c r="B282" s="49" t="s">
        <v>233</v>
      </c>
      <c r="C282" t="s">
        <v>368</v>
      </c>
      <c r="D282" t="s">
        <v>31</v>
      </c>
      <c r="E282" s="13">
        <v>-2630773.2799999998</v>
      </c>
      <c r="F282" s="13"/>
      <c r="G282" s="13"/>
      <c r="H282" s="13">
        <f t="shared" si="15"/>
        <v>-2630773.2799999998</v>
      </c>
      <c r="I282" s="13"/>
      <c r="J282" s="13">
        <f t="shared" si="16"/>
        <v>-2630773.2799999998</v>
      </c>
      <c r="K282" s="13"/>
      <c r="L282" s="13"/>
      <c r="M282" s="13"/>
      <c r="N282" s="50"/>
      <c r="O282" s="50"/>
      <c r="P282" s="50"/>
      <c r="Q282" t="s">
        <v>41</v>
      </c>
    </row>
    <row r="283" spans="1:17" hidden="1">
      <c r="A283" s="52" t="s">
        <v>67</v>
      </c>
      <c r="B283" s="49" t="s">
        <v>233</v>
      </c>
      <c r="C283" t="s">
        <v>369</v>
      </c>
      <c r="D283" t="s">
        <v>31</v>
      </c>
      <c r="E283" s="13">
        <v>19891.409999999996</v>
      </c>
      <c r="F283" s="13"/>
      <c r="G283" s="13"/>
      <c r="H283" s="13">
        <f t="shared" si="15"/>
        <v>19891.409999999996</v>
      </c>
      <c r="I283" s="13"/>
      <c r="J283" s="13">
        <f t="shared" si="16"/>
        <v>19891.409999999996</v>
      </c>
      <c r="K283" s="13"/>
      <c r="L283" s="13"/>
      <c r="M283" s="13"/>
      <c r="N283" s="50"/>
      <c r="O283" s="50"/>
      <c r="P283" s="50"/>
      <c r="Q283" t="s">
        <v>41</v>
      </c>
    </row>
    <row r="284" spans="1:17" hidden="1">
      <c r="A284" s="52" t="s">
        <v>67</v>
      </c>
      <c r="B284" s="49" t="s">
        <v>233</v>
      </c>
      <c r="C284" t="s">
        <v>370</v>
      </c>
      <c r="D284" t="s">
        <v>9</v>
      </c>
      <c r="E284" s="13">
        <v>190259.64</v>
      </c>
      <c r="F284" s="13">
        <v>505016.0900000002</v>
      </c>
      <c r="G284" s="13"/>
      <c r="H284" s="13">
        <f t="shared" si="15"/>
        <v>695275.73000000021</v>
      </c>
      <c r="I284" s="13"/>
      <c r="J284" s="13">
        <f t="shared" si="16"/>
        <v>695275.73000000021</v>
      </c>
      <c r="K284" s="13"/>
      <c r="L284" s="13">
        <f t="shared" ref="L284:L311" si="19">+K284+J284</f>
        <v>695275.73000000021</v>
      </c>
      <c r="M284" s="13"/>
      <c r="N284" s="50"/>
      <c r="O284" s="50"/>
      <c r="P284" s="50"/>
      <c r="Q284" t="s">
        <v>45</v>
      </c>
    </row>
    <row r="285" spans="1:17" hidden="1">
      <c r="A285" s="52" t="s">
        <v>67</v>
      </c>
      <c r="B285" s="49" t="s">
        <v>233</v>
      </c>
      <c r="C285" t="s">
        <v>371</v>
      </c>
      <c r="D285" t="s">
        <v>9</v>
      </c>
      <c r="E285" s="13"/>
      <c r="F285" s="13">
        <v>95002.880000000005</v>
      </c>
      <c r="G285" s="13"/>
      <c r="H285" s="13">
        <f t="shared" si="15"/>
        <v>95002.880000000005</v>
      </c>
      <c r="I285" s="13">
        <v>769963.00000000012</v>
      </c>
      <c r="J285" s="13">
        <f t="shared" si="16"/>
        <v>864965.88000000012</v>
      </c>
      <c r="K285" s="13"/>
      <c r="L285" s="13">
        <f t="shared" si="19"/>
        <v>864965.88000000012</v>
      </c>
      <c r="M285" s="13"/>
      <c r="N285" s="50"/>
      <c r="O285" s="50"/>
      <c r="P285" s="50"/>
      <c r="Q285" t="s">
        <v>46</v>
      </c>
    </row>
    <row r="286" spans="1:17" hidden="1">
      <c r="A286" s="52" t="s">
        <v>67</v>
      </c>
      <c r="B286" s="49" t="s">
        <v>233</v>
      </c>
      <c r="C286" t="s">
        <v>372</v>
      </c>
      <c r="D286" t="s">
        <v>9</v>
      </c>
      <c r="E286" s="13">
        <v>9027.01</v>
      </c>
      <c r="F286" s="13">
        <v>430383.49</v>
      </c>
      <c r="G286" s="13">
        <v>13978</v>
      </c>
      <c r="H286" s="13">
        <f t="shared" si="15"/>
        <v>453388.5</v>
      </c>
      <c r="I286" s="13"/>
      <c r="J286" s="13">
        <f t="shared" si="16"/>
        <v>453388.5</v>
      </c>
      <c r="K286" s="13"/>
      <c r="L286" s="13">
        <f t="shared" si="19"/>
        <v>453388.5</v>
      </c>
      <c r="M286" s="13"/>
      <c r="N286" s="50"/>
      <c r="O286" s="50"/>
      <c r="P286" s="50"/>
      <c r="Q286" t="s">
        <v>43</v>
      </c>
    </row>
    <row r="287" spans="1:17" hidden="1">
      <c r="A287" s="52" t="s">
        <v>67</v>
      </c>
      <c r="B287" s="49" t="s">
        <v>233</v>
      </c>
      <c r="C287" t="s">
        <v>373</v>
      </c>
      <c r="D287" t="s">
        <v>9</v>
      </c>
      <c r="E287" s="13"/>
      <c r="F287" s="13">
        <v>1379.73</v>
      </c>
      <c r="G287" s="13"/>
      <c r="H287" s="13">
        <f t="shared" si="15"/>
        <v>1379.73</v>
      </c>
      <c r="I287" s="13"/>
      <c r="J287" s="13">
        <f t="shared" si="16"/>
        <v>1379.73</v>
      </c>
      <c r="K287" s="13"/>
      <c r="L287" s="13">
        <f t="shared" si="19"/>
        <v>1379.73</v>
      </c>
      <c r="M287" s="13"/>
      <c r="N287" s="50"/>
      <c r="O287" s="50"/>
      <c r="P287" s="50"/>
      <c r="Q287" t="s">
        <v>46</v>
      </c>
    </row>
    <row r="288" spans="1:17" hidden="1">
      <c r="A288" s="52" t="s">
        <v>67</v>
      </c>
      <c r="B288" s="49" t="s">
        <v>233</v>
      </c>
      <c r="C288" t="s">
        <v>374</v>
      </c>
      <c r="D288" t="s">
        <v>9</v>
      </c>
      <c r="E288" s="13">
        <v>-17655.480000000003</v>
      </c>
      <c r="F288" s="13"/>
      <c r="G288" s="13"/>
      <c r="H288" s="13">
        <f t="shared" si="15"/>
        <v>-17655.480000000003</v>
      </c>
      <c r="I288" s="13"/>
      <c r="J288" s="13">
        <f t="shared" si="16"/>
        <v>-17655.480000000003</v>
      </c>
      <c r="K288" s="13"/>
      <c r="L288" s="13">
        <f t="shared" si="19"/>
        <v>-17655.480000000003</v>
      </c>
      <c r="M288" s="13"/>
      <c r="N288" s="50"/>
      <c r="O288" s="50"/>
      <c r="P288" s="50"/>
      <c r="Q288" t="s">
        <v>46</v>
      </c>
    </row>
    <row r="289" spans="1:17" hidden="1">
      <c r="A289" s="52" t="s">
        <v>67</v>
      </c>
      <c r="B289" s="49" t="s">
        <v>233</v>
      </c>
      <c r="C289" t="s">
        <v>375</v>
      </c>
      <c r="D289" t="s">
        <v>9</v>
      </c>
      <c r="E289" s="13">
        <v>154210.65999999997</v>
      </c>
      <c r="F289" s="13">
        <v>276455.8</v>
      </c>
      <c r="G289" s="13"/>
      <c r="H289" s="13">
        <f t="shared" si="15"/>
        <v>430666.45999999996</v>
      </c>
      <c r="I289" s="13"/>
      <c r="J289" s="13">
        <f t="shared" si="16"/>
        <v>430666.45999999996</v>
      </c>
      <c r="K289" s="13"/>
      <c r="L289" s="13">
        <f t="shared" si="19"/>
        <v>430666.45999999996</v>
      </c>
      <c r="M289" s="13"/>
      <c r="N289" s="50"/>
      <c r="O289" s="50"/>
      <c r="P289" s="50"/>
      <c r="Q289" t="s">
        <v>45</v>
      </c>
    </row>
    <row r="290" spans="1:17" hidden="1">
      <c r="A290" s="52" t="s">
        <v>67</v>
      </c>
      <c r="B290" s="49" t="s">
        <v>233</v>
      </c>
      <c r="C290" t="s">
        <v>376</v>
      </c>
      <c r="D290" t="s">
        <v>9</v>
      </c>
      <c r="E290" s="13">
        <v>487350.38999999996</v>
      </c>
      <c r="F290" s="13">
        <v>18193.25</v>
      </c>
      <c r="G290" s="13"/>
      <c r="H290" s="13">
        <f t="shared" si="15"/>
        <v>505543.63999999996</v>
      </c>
      <c r="I290" s="13"/>
      <c r="J290" s="13">
        <f t="shared" si="16"/>
        <v>505543.63999999996</v>
      </c>
      <c r="K290" s="13"/>
      <c r="L290" s="13">
        <f t="shared" si="19"/>
        <v>505543.63999999996</v>
      </c>
      <c r="M290" s="13"/>
      <c r="N290" s="50"/>
      <c r="O290" s="50"/>
      <c r="P290" s="50"/>
      <c r="Q290" t="s">
        <v>45</v>
      </c>
    </row>
    <row r="291" spans="1:17" hidden="1">
      <c r="A291" s="52" t="s">
        <v>67</v>
      </c>
      <c r="B291" s="49" t="s">
        <v>233</v>
      </c>
      <c r="C291" t="s">
        <v>377</v>
      </c>
      <c r="D291" t="s">
        <v>9</v>
      </c>
      <c r="E291" s="13">
        <v>38540.080000000002</v>
      </c>
      <c r="F291" s="13">
        <v>418951.16999999993</v>
      </c>
      <c r="G291" s="13"/>
      <c r="H291" s="13">
        <f t="shared" si="15"/>
        <v>457491.24999999994</v>
      </c>
      <c r="I291" s="13"/>
      <c r="J291" s="13">
        <f t="shared" si="16"/>
        <v>457491.24999999994</v>
      </c>
      <c r="K291" s="13"/>
      <c r="L291" s="13">
        <f t="shared" si="19"/>
        <v>457491.24999999994</v>
      </c>
      <c r="M291" s="13"/>
      <c r="N291" s="50"/>
      <c r="O291" s="50"/>
      <c r="P291" s="50"/>
      <c r="Q291" t="s">
        <v>45</v>
      </c>
    </row>
    <row r="292" spans="1:17" hidden="1">
      <c r="A292" s="52" t="s">
        <v>67</v>
      </c>
      <c r="B292" s="49" t="s">
        <v>233</v>
      </c>
      <c r="C292" t="s">
        <v>378</v>
      </c>
      <c r="D292" t="s">
        <v>9</v>
      </c>
      <c r="E292" s="13">
        <v>85730.6</v>
      </c>
      <c r="F292" s="13">
        <v>1100</v>
      </c>
      <c r="G292" s="13"/>
      <c r="H292" s="13">
        <f t="shared" si="15"/>
        <v>86830.6</v>
      </c>
      <c r="I292" s="13"/>
      <c r="J292" s="13">
        <f t="shared" si="16"/>
        <v>86830.6</v>
      </c>
      <c r="K292" s="13"/>
      <c r="L292" s="13">
        <f t="shared" si="19"/>
        <v>86830.6</v>
      </c>
      <c r="M292" s="13"/>
      <c r="N292" s="50"/>
      <c r="O292" s="50"/>
      <c r="P292" s="50"/>
      <c r="Q292" t="s">
        <v>46</v>
      </c>
    </row>
    <row r="293" spans="1:17" hidden="1">
      <c r="A293" s="52" t="s">
        <v>67</v>
      </c>
      <c r="B293" s="49" t="s">
        <v>233</v>
      </c>
      <c r="C293" t="s">
        <v>379</v>
      </c>
      <c r="D293" t="s">
        <v>9</v>
      </c>
      <c r="E293" s="13">
        <v>-230.59000000000015</v>
      </c>
      <c r="F293" s="13">
        <v>230.59</v>
      </c>
      <c r="G293" s="13"/>
      <c r="H293" s="13">
        <f t="shared" si="15"/>
        <v>0</v>
      </c>
      <c r="I293" s="13"/>
      <c r="J293" s="13">
        <f t="shared" si="16"/>
        <v>0</v>
      </c>
      <c r="K293" s="13"/>
      <c r="L293" s="13">
        <f t="shared" si="19"/>
        <v>0</v>
      </c>
      <c r="M293" s="13"/>
      <c r="N293" s="50"/>
      <c r="O293" s="50"/>
      <c r="P293" s="50"/>
      <c r="Q293" t="s">
        <v>42</v>
      </c>
    </row>
    <row r="294" spans="1:17" hidden="1">
      <c r="A294" s="52" t="s">
        <v>67</v>
      </c>
      <c r="B294" s="49" t="s">
        <v>233</v>
      </c>
      <c r="C294" t="s">
        <v>380</v>
      </c>
      <c r="D294" t="s">
        <v>9</v>
      </c>
      <c r="E294" s="13">
        <v>235649.04999999993</v>
      </c>
      <c r="F294" s="13">
        <v>-4112.3900000000003</v>
      </c>
      <c r="G294" s="13"/>
      <c r="H294" s="13">
        <f t="shared" si="15"/>
        <v>231536.65999999992</v>
      </c>
      <c r="I294" s="13"/>
      <c r="J294" s="13">
        <f t="shared" si="16"/>
        <v>231536.65999999992</v>
      </c>
      <c r="K294" s="13"/>
      <c r="L294" s="13">
        <f t="shared" si="19"/>
        <v>231536.65999999992</v>
      </c>
      <c r="M294" s="13"/>
      <c r="N294" s="50"/>
      <c r="O294" s="50"/>
      <c r="P294" s="50"/>
      <c r="Q294" t="s">
        <v>42</v>
      </c>
    </row>
    <row r="295" spans="1:17" hidden="1">
      <c r="A295" s="52" t="s">
        <v>67</v>
      </c>
      <c r="B295" s="49" t="s">
        <v>233</v>
      </c>
      <c r="C295" t="s">
        <v>381</v>
      </c>
      <c r="D295" t="s">
        <v>9</v>
      </c>
      <c r="E295" s="13">
        <v>1243829.8400000001</v>
      </c>
      <c r="F295" s="13">
        <v>515140.54000000004</v>
      </c>
      <c r="G295" s="13"/>
      <c r="H295" s="13">
        <f t="shared" si="15"/>
        <v>1758970.3800000001</v>
      </c>
      <c r="I295" s="13"/>
      <c r="J295" s="13">
        <f t="shared" si="16"/>
        <v>1758970.3800000001</v>
      </c>
      <c r="K295" s="13"/>
      <c r="L295" s="13">
        <f t="shared" si="19"/>
        <v>1758970.3800000001</v>
      </c>
      <c r="M295" s="13"/>
      <c r="N295" s="50"/>
      <c r="O295" s="50"/>
      <c r="P295" s="50"/>
      <c r="Q295" t="s">
        <v>42</v>
      </c>
    </row>
    <row r="296" spans="1:17" hidden="1">
      <c r="A296" s="52" t="s">
        <v>67</v>
      </c>
      <c r="B296" s="49" t="s">
        <v>233</v>
      </c>
      <c r="C296" t="s">
        <v>382</v>
      </c>
      <c r="D296" t="s">
        <v>9</v>
      </c>
      <c r="E296" s="13"/>
      <c r="F296" s="13">
        <v>3448037.39</v>
      </c>
      <c r="G296" s="13"/>
      <c r="H296" s="13">
        <f t="shared" si="15"/>
        <v>3448037.39</v>
      </c>
      <c r="I296" s="13"/>
      <c r="J296" s="13">
        <f t="shared" si="16"/>
        <v>3448037.39</v>
      </c>
      <c r="K296" s="13"/>
      <c r="L296" s="13">
        <f t="shared" si="19"/>
        <v>3448037.39</v>
      </c>
      <c r="M296" s="13"/>
      <c r="N296" s="50"/>
      <c r="O296" s="50"/>
      <c r="P296" s="50"/>
      <c r="Q296" t="s">
        <v>42</v>
      </c>
    </row>
    <row r="297" spans="1:17" hidden="1">
      <c r="A297" s="52" t="s">
        <v>67</v>
      </c>
      <c r="B297" s="49" t="s">
        <v>233</v>
      </c>
      <c r="C297" t="s">
        <v>383</v>
      </c>
      <c r="D297" t="s">
        <v>9</v>
      </c>
      <c r="E297" s="13"/>
      <c r="F297" s="13"/>
      <c r="G297" s="13">
        <v>1000000</v>
      </c>
      <c r="H297" s="13">
        <f t="shared" si="15"/>
        <v>1000000</v>
      </c>
      <c r="I297" s="13"/>
      <c r="J297" s="13">
        <f t="shared" si="16"/>
        <v>1000000</v>
      </c>
      <c r="K297" s="13"/>
      <c r="L297" s="13">
        <f t="shared" si="19"/>
        <v>1000000</v>
      </c>
      <c r="M297" s="13"/>
      <c r="N297" s="50"/>
      <c r="O297" s="50"/>
      <c r="P297" s="50"/>
      <c r="Q297" t="s">
        <v>42</v>
      </c>
    </row>
    <row r="298" spans="1:17" hidden="1">
      <c r="A298" s="52" t="s">
        <v>67</v>
      </c>
      <c r="B298" s="49" t="s">
        <v>233</v>
      </c>
      <c r="C298" t="s">
        <v>384</v>
      </c>
      <c r="D298" t="s">
        <v>9</v>
      </c>
      <c r="E298" s="13"/>
      <c r="F298" s="13">
        <v>-14564.06</v>
      </c>
      <c r="G298" s="13"/>
      <c r="H298" s="13">
        <f t="shared" si="15"/>
        <v>-14564.06</v>
      </c>
      <c r="I298" s="13"/>
      <c r="J298" s="13">
        <f t="shared" si="16"/>
        <v>-14564.06</v>
      </c>
      <c r="K298" s="13"/>
      <c r="L298" s="13">
        <f t="shared" si="19"/>
        <v>-14564.06</v>
      </c>
      <c r="M298" s="13"/>
      <c r="N298" s="50"/>
      <c r="O298" s="50"/>
      <c r="P298" s="50"/>
      <c r="Q298" t="s">
        <v>46</v>
      </c>
    </row>
    <row r="299" spans="1:17" hidden="1">
      <c r="A299" s="52" t="s">
        <v>67</v>
      </c>
      <c r="B299" s="49" t="s">
        <v>233</v>
      </c>
      <c r="C299" t="s">
        <v>385</v>
      </c>
      <c r="D299" t="s">
        <v>9</v>
      </c>
      <c r="E299" s="13"/>
      <c r="F299" s="13"/>
      <c r="G299" s="13">
        <v>950000</v>
      </c>
      <c r="H299" s="13">
        <f t="shared" si="15"/>
        <v>950000</v>
      </c>
      <c r="I299" s="13"/>
      <c r="J299" s="13">
        <f t="shared" si="16"/>
        <v>950000</v>
      </c>
      <c r="K299" s="13"/>
      <c r="L299" s="13">
        <f t="shared" si="19"/>
        <v>950000</v>
      </c>
      <c r="M299" s="13"/>
      <c r="N299" s="50"/>
      <c r="O299" s="50"/>
      <c r="P299" s="50"/>
      <c r="Q299" t="s">
        <v>45</v>
      </c>
    </row>
    <row r="300" spans="1:17" hidden="1">
      <c r="A300" s="52" t="s">
        <v>67</v>
      </c>
      <c r="B300" s="49" t="s">
        <v>233</v>
      </c>
      <c r="C300" t="s">
        <v>386</v>
      </c>
      <c r="D300" t="s">
        <v>9</v>
      </c>
      <c r="E300" s="13">
        <v>25931.169999999995</v>
      </c>
      <c r="F300" s="13"/>
      <c r="G300" s="13"/>
      <c r="H300" s="13">
        <f t="shared" si="15"/>
        <v>25931.169999999995</v>
      </c>
      <c r="I300" s="13"/>
      <c r="J300" s="13">
        <f t="shared" si="16"/>
        <v>25931.169999999995</v>
      </c>
      <c r="K300" s="13"/>
      <c r="L300" s="13">
        <f t="shared" si="19"/>
        <v>25931.169999999995</v>
      </c>
      <c r="M300" s="13"/>
      <c r="N300" s="50"/>
      <c r="O300" s="50"/>
      <c r="P300" s="50"/>
      <c r="Q300" t="s">
        <v>46</v>
      </c>
    </row>
    <row r="301" spans="1:17" hidden="1">
      <c r="A301" s="52" t="s">
        <v>67</v>
      </c>
      <c r="B301" s="49" t="s">
        <v>233</v>
      </c>
      <c r="C301" t="s">
        <v>387</v>
      </c>
      <c r="D301" t="s">
        <v>9</v>
      </c>
      <c r="E301" s="13">
        <v>9027.01</v>
      </c>
      <c r="F301" s="13">
        <v>79406</v>
      </c>
      <c r="G301" s="13"/>
      <c r="H301" s="13">
        <f t="shared" si="15"/>
        <v>88433.01</v>
      </c>
      <c r="I301" s="13">
        <v>157389.96</v>
      </c>
      <c r="J301" s="13">
        <f t="shared" si="16"/>
        <v>245822.96999999997</v>
      </c>
      <c r="K301" s="13"/>
      <c r="L301" s="13">
        <f t="shared" si="19"/>
        <v>245822.96999999997</v>
      </c>
      <c r="M301" s="13"/>
      <c r="N301" s="50"/>
      <c r="O301" s="50"/>
      <c r="P301" s="50"/>
      <c r="Q301" t="s">
        <v>46</v>
      </c>
    </row>
    <row r="302" spans="1:17" hidden="1">
      <c r="A302" s="52" t="s">
        <v>67</v>
      </c>
      <c r="B302" s="49" t="s">
        <v>233</v>
      </c>
      <c r="C302" t="s">
        <v>388</v>
      </c>
      <c r="D302" t="s">
        <v>9</v>
      </c>
      <c r="E302" s="13"/>
      <c r="F302" s="13">
        <v>-46855.24</v>
      </c>
      <c r="G302" s="13"/>
      <c r="H302" s="13">
        <f t="shared" si="15"/>
        <v>-46855.24</v>
      </c>
      <c r="I302" s="13"/>
      <c r="J302" s="13">
        <f t="shared" si="16"/>
        <v>-46855.24</v>
      </c>
      <c r="K302" s="13"/>
      <c r="L302" s="13">
        <f t="shared" si="19"/>
        <v>-46855.24</v>
      </c>
      <c r="M302" s="13"/>
      <c r="N302" s="50"/>
      <c r="O302" s="50"/>
      <c r="P302" s="50"/>
      <c r="Q302" t="s">
        <v>46</v>
      </c>
    </row>
    <row r="303" spans="1:17" hidden="1">
      <c r="A303" s="52" t="s">
        <v>67</v>
      </c>
      <c r="B303" s="49" t="s">
        <v>233</v>
      </c>
      <c r="C303" t="s">
        <v>389</v>
      </c>
      <c r="D303" t="s">
        <v>9</v>
      </c>
      <c r="E303" s="13"/>
      <c r="F303" s="13">
        <v>1189673.57</v>
      </c>
      <c r="G303" s="13"/>
      <c r="H303" s="13">
        <f t="shared" si="15"/>
        <v>1189673.57</v>
      </c>
      <c r="I303" s="13"/>
      <c r="J303" s="13">
        <f t="shared" si="16"/>
        <v>1189673.57</v>
      </c>
      <c r="K303" s="13"/>
      <c r="L303" s="13">
        <f t="shared" si="19"/>
        <v>1189673.57</v>
      </c>
      <c r="M303" s="13"/>
      <c r="N303" s="50"/>
      <c r="O303" s="50"/>
      <c r="P303" s="50"/>
      <c r="Q303" t="s">
        <v>46</v>
      </c>
    </row>
    <row r="304" spans="1:17" hidden="1">
      <c r="A304" s="52" t="s">
        <v>67</v>
      </c>
      <c r="B304" s="49" t="s">
        <v>233</v>
      </c>
      <c r="C304" t="s">
        <v>390</v>
      </c>
      <c r="D304" t="s">
        <v>9</v>
      </c>
      <c r="E304" s="13"/>
      <c r="F304" s="13"/>
      <c r="G304" s="13"/>
      <c r="H304" s="13">
        <f t="shared" si="15"/>
        <v>0</v>
      </c>
      <c r="I304" s="13">
        <v>25000</v>
      </c>
      <c r="J304" s="13">
        <f t="shared" si="16"/>
        <v>25000</v>
      </c>
      <c r="K304" s="13"/>
      <c r="L304" s="13">
        <f t="shared" si="19"/>
        <v>25000</v>
      </c>
      <c r="M304" s="13"/>
      <c r="N304" s="50"/>
      <c r="O304" s="50"/>
      <c r="P304" s="50"/>
      <c r="Q304" t="s">
        <v>46</v>
      </c>
    </row>
    <row r="305" spans="1:17" hidden="1">
      <c r="A305" s="52" t="s">
        <v>67</v>
      </c>
      <c r="B305" s="49" t="s">
        <v>233</v>
      </c>
      <c r="C305" t="s">
        <v>391</v>
      </c>
      <c r="D305" t="s">
        <v>9</v>
      </c>
      <c r="E305" s="13"/>
      <c r="F305" s="13"/>
      <c r="G305" s="13">
        <v>950000</v>
      </c>
      <c r="H305" s="13">
        <f t="shared" si="15"/>
        <v>950000</v>
      </c>
      <c r="I305" s="13">
        <v>364064.04000000004</v>
      </c>
      <c r="J305" s="13">
        <f t="shared" si="16"/>
        <v>1314064.04</v>
      </c>
      <c r="K305" s="13"/>
      <c r="L305" s="13">
        <f t="shared" si="19"/>
        <v>1314064.04</v>
      </c>
      <c r="M305" s="13"/>
      <c r="N305" s="50"/>
      <c r="O305" s="50"/>
      <c r="P305" s="50"/>
      <c r="Q305" t="s">
        <v>43</v>
      </c>
    </row>
    <row r="306" spans="1:17" hidden="1">
      <c r="A306" s="52" t="s">
        <v>67</v>
      </c>
      <c r="B306" s="49" t="s">
        <v>233</v>
      </c>
      <c r="C306" t="s">
        <v>392</v>
      </c>
      <c r="D306" t="s">
        <v>9</v>
      </c>
      <c r="E306" s="13"/>
      <c r="F306" s="13">
        <v>254131.91</v>
      </c>
      <c r="G306" s="13">
        <v>774980.42</v>
      </c>
      <c r="H306" s="13">
        <f t="shared" si="15"/>
        <v>1029112.3300000001</v>
      </c>
      <c r="I306" s="13"/>
      <c r="J306" s="13">
        <f t="shared" si="16"/>
        <v>1029112.3300000001</v>
      </c>
      <c r="K306" s="13"/>
      <c r="L306" s="13">
        <f t="shared" si="19"/>
        <v>1029112.3300000001</v>
      </c>
      <c r="M306" s="13"/>
      <c r="N306" s="50"/>
      <c r="O306" s="50"/>
      <c r="P306" s="50"/>
      <c r="Q306" t="s">
        <v>46</v>
      </c>
    </row>
    <row r="307" spans="1:17" hidden="1">
      <c r="A307" s="52" t="s">
        <v>67</v>
      </c>
      <c r="B307" s="49" t="s">
        <v>233</v>
      </c>
      <c r="C307" t="s">
        <v>393</v>
      </c>
      <c r="D307" t="s">
        <v>9</v>
      </c>
      <c r="E307" s="13"/>
      <c r="F307" s="13">
        <v>607227.63</v>
      </c>
      <c r="G307" s="13"/>
      <c r="H307" s="13">
        <f t="shared" si="15"/>
        <v>607227.63</v>
      </c>
      <c r="I307" s="13">
        <v>1000000</v>
      </c>
      <c r="J307" s="13">
        <f t="shared" si="16"/>
        <v>1607227.63</v>
      </c>
      <c r="K307" s="13"/>
      <c r="L307" s="13">
        <f t="shared" si="19"/>
        <v>1607227.63</v>
      </c>
      <c r="M307" s="13"/>
      <c r="N307" s="50"/>
      <c r="O307" s="50"/>
      <c r="P307" s="50"/>
      <c r="Q307" t="s">
        <v>46</v>
      </c>
    </row>
    <row r="308" spans="1:17" hidden="1">
      <c r="A308" s="52" t="s">
        <v>67</v>
      </c>
      <c r="B308" s="49" t="s">
        <v>233</v>
      </c>
      <c r="C308" t="s">
        <v>394</v>
      </c>
      <c r="D308" t="s">
        <v>9</v>
      </c>
      <c r="E308" s="13"/>
      <c r="F308" s="13">
        <v>36347.269999999997</v>
      </c>
      <c r="G308" s="13">
        <v>10000</v>
      </c>
      <c r="H308" s="13">
        <f t="shared" si="15"/>
        <v>46347.27</v>
      </c>
      <c r="I308" s="13"/>
      <c r="J308" s="13">
        <f t="shared" si="16"/>
        <v>46347.27</v>
      </c>
      <c r="K308" s="13"/>
      <c r="L308" s="13">
        <f t="shared" si="19"/>
        <v>46347.27</v>
      </c>
      <c r="M308" s="13"/>
      <c r="N308" s="50"/>
      <c r="O308" s="50"/>
      <c r="P308" s="50"/>
      <c r="Q308" t="s">
        <v>45</v>
      </c>
    </row>
    <row r="309" spans="1:17" hidden="1">
      <c r="A309" s="52" t="s">
        <v>67</v>
      </c>
      <c r="B309" s="49" t="s">
        <v>233</v>
      </c>
      <c r="C309" t="s">
        <v>395</v>
      </c>
      <c r="D309" t="s">
        <v>9</v>
      </c>
      <c r="E309" s="13"/>
      <c r="F309" s="13">
        <v>1627320.99</v>
      </c>
      <c r="G309" s="13">
        <v>-124380</v>
      </c>
      <c r="H309" s="13">
        <f t="shared" si="15"/>
        <v>1502940.99</v>
      </c>
      <c r="I309" s="13"/>
      <c r="J309" s="13">
        <f t="shared" si="16"/>
        <v>1502940.99</v>
      </c>
      <c r="K309" s="13"/>
      <c r="L309" s="13">
        <f t="shared" si="19"/>
        <v>1502940.99</v>
      </c>
      <c r="M309" s="13"/>
      <c r="N309" s="50"/>
      <c r="O309" s="50"/>
      <c r="P309" s="50"/>
      <c r="Q309" t="s">
        <v>45</v>
      </c>
    </row>
    <row r="310" spans="1:17" hidden="1">
      <c r="A310" s="52" t="s">
        <v>67</v>
      </c>
      <c r="B310" s="49" t="s">
        <v>233</v>
      </c>
      <c r="C310" t="s">
        <v>396</v>
      </c>
      <c r="D310" t="s">
        <v>9</v>
      </c>
      <c r="E310" s="13">
        <v>2553.33</v>
      </c>
      <c r="F310" s="13">
        <v>4007.4700000000003</v>
      </c>
      <c r="G310" s="13">
        <v>85544</v>
      </c>
      <c r="H310" s="13">
        <f t="shared" si="15"/>
        <v>92104.8</v>
      </c>
      <c r="I310" s="13"/>
      <c r="J310" s="13">
        <f t="shared" si="16"/>
        <v>92104.8</v>
      </c>
      <c r="K310" s="13"/>
      <c r="L310" s="13">
        <f t="shared" si="19"/>
        <v>92104.8</v>
      </c>
      <c r="M310" s="13"/>
      <c r="N310" s="50"/>
      <c r="O310" s="50"/>
      <c r="P310" s="50"/>
      <c r="Q310" t="s">
        <v>45</v>
      </c>
    </row>
    <row r="311" spans="1:17" hidden="1">
      <c r="A311" s="52" t="s">
        <v>67</v>
      </c>
      <c r="B311" s="49" t="s">
        <v>233</v>
      </c>
      <c r="C311" t="s">
        <v>397</v>
      </c>
      <c r="D311" t="s">
        <v>9</v>
      </c>
      <c r="E311" s="13">
        <v>3525325.4999999995</v>
      </c>
      <c r="F311" s="13">
        <v>-121945.5</v>
      </c>
      <c r="G311" s="13"/>
      <c r="H311" s="13">
        <f t="shared" si="15"/>
        <v>3403379.9999999995</v>
      </c>
      <c r="I311" s="13"/>
      <c r="J311" s="13">
        <f t="shared" si="16"/>
        <v>3403379.9999999995</v>
      </c>
      <c r="K311" s="13"/>
      <c r="L311" s="13">
        <f t="shared" si="19"/>
        <v>3403379.9999999995</v>
      </c>
      <c r="M311" s="13"/>
      <c r="N311" s="50"/>
      <c r="O311" s="50"/>
      <c r="P311" s="50"/>
      <c r="Q311" t="s">
        <v>45</v>
      </c>
    </row>
    <row r="312" spans="1:17" hidden="1">
      <c r="A312" s="52" t="s">
        <v>67</v>
      </c>
      <c r="B312" s="49" t="s">
        <v>398</v>
      </c>
      <c r="C312" t="s">
        <v>399</v>
      </c>
      <c r="D312" t="s">
        <v>9</v>
      </c>
      <c r="E312" s="13">
        <v>192.06</v>
      </c>
      <c r="F312" s="13"/>
      <c r="G312" s="13"/>
      <c r="H312" s="13">
        <f t="shared" si="15"/>
        <v>192.06</v>
      </c>
      <c r="I312" s="13"/>
      <c r="J312" s="13">
        <f t="shared" si="16"/>
        <v>192.06</v>
      </c>
      <c r="K312" s="13"/>
      <c r="L312" s="13"/>
      <c r="M312" s="13"/>
      <c r="N312" s="50"/>
      <c r="O312" s="50"/>
      <c r="P312" s="50"/>
      <c r="Q312" t="s">
        <v>21</v>
      </c>
    </row>
    <row r="313" spans="1:17" hidden="1">
      <c r="A313" s="52" t="s">
        <v>67</v>
      </c>
      <c r="B313" s="49" t="s">
        <v>400</v>
      </c>
      <c r="C313" t="s">
        <v>401</v>
      </c>
      <c r="D313" t="s">
        <v>9</v>
      </c>
      <c r="E313" s="13">
        <v>1058933.43</v>
      </c>
      <c r="F313" s="13">
        <v>290911.18000000005</v>
      </c>
      <c r="G313" s="13"/>
      <c r="H313" s="13">
        <f t="shared" si="15"/>
        <v>1349844.6099999999</v>
      </c>
      <c r="I313" s="13"/>
      <c r="J313" s="13">
        <f t="shared" si="16"/>
        <v>1349844.6099999999</v>
      </c>
      <c r="K313" s="13"/>
      <c r="L313" s="13"/>
      <c r="M313" s="13"/>
      <c r="N313" s="50"/>
      <c r="O313" s="50"/>
      <c r="P313" s="50"/>
      <c r="Q313" t="s">
        <v>21</v>
      </c>
    </row>
    <row r="314" spans="1:17" hidden="1">
      <c r="A314" s="52" t="s">
        <v>67</v>
      </c>
      <c r="B314" s="49" t="s">
        <v>400</v>
      </c>
      <c r="C314" t="s">
        <v>402</v>
      </c>
      <c r="D314" t="s">
        <v>9</v>
      </c>
      <c r="E314" s="13">
        <v>373865.31</v>
      </c>
      <c r="F314" s="13">
        <v>-361196.76</v>
      </c>
      <c r="G314" s="13">
        <v>100000</v>
      </c>
      <c r="H314" s="13">
        <f t="shared" si="15"/>
        <v>112668.54999999999</v>
      </c>
      <c r="I314" s="13">
        <v>100000</v>
      </c>
      <c r="J314" s="13">
        <f t="shared" si="16"/>
        <v>212668.55</v>
      </c>
      <c r="K314" s="13"/>
      <c r="L314" s="13"/>
      <c r="M314" s="13"/>
      <c r="N314" s="50"/>
      <c r="O314" s="50"/>
      <c r="P314" s="50"/>
      <c r="Q314" t="s">
        <v>42</v>
      </c>
    </row>
    <row r="315" spans="1:17" hidden="1">
      <c r="A315" s="52" t="s">
        <v>67</v>
      </c>
      <c r="B315" s="49" t="s">
        <v>400</v>
      </c>
      <c r="C315" t="s">
        <v>403</v>
      </c>
      <c r="D315" t="s">
        <v>9</v>
      </c>
      <c r="E315" s="13"/>
      <c r="F315" s="13">
        <v>568442.51999999979</v>
      </c>
      <c r="G315" s="13">
        <v>250000</v>
      </c>
      <c r="H315" s="13">
        <f t="shared" si="15"/>
        <v>818442.51999999979</v>
      </c>
      <c r="I315" s="13"/>
      <c r="J315" s="13">
        <f t="shared" si="16"/>
        <v>818442.51999999979</v>
      </c>
      <c r="K315" s="13"/>
      <c r="L315" s="13"/>
      <c r="M315" s="13"/>
      <c r="N315" s="50"/>
      <c r="O315" s="50"/>
      <c r="P315" s="50"/>
      <c r="Q315" t="s">
        <v>21</v>
      </c>
    </row>
    <row r="316" spans="1:17" hidden="1">
      <c r="A316" s="52" t="s">
        <v>67</v>
      </c>
      <c r="B316" s="49" t="s">
        <v>71</v>
      </c>
      <c r="C316" t="s">
        <v>404</v>
      </c>
      <c r="D316" t="s">
        <v>31</v>
      </c>
      <c r="E316" s="13">
        <v>2865713.4799999995</v>
      </c>
      <c r="F316" s="13">
        <v>7026016.2400000012</v>
      </c>
      <c r="G316" s="13">
        <v>2476054</v>
      </c>
      <c r="H316" s="13">
        <f t="shared" si="15"/>
        <v>12367783.720000001</v>
      </c>
      <c r="I316" s="13">
        <v>5170000</v>
      </c>
      <c r="J316" s="13">
        <f t="shared" si="16"/>
        <v>17537783.719999999</v>
      </c>
      <c r="K316" s="13"/>
      <c r="L316" s="13"/>
      <c r="M316" s="13"/>
      <c r="N316" s="50"/>
      <c r="O316" s="50"/>
      <c r="P316" s="50"/>
      <c r="Q316" t="s">
        <v>6</v>
      </c>
    </row>
    <row r="317" spans="1:17" hidden="1">
      <c r="A317" s="52" t="s">
        <v>67</v>
      </c>
      <c r="B317" s="49" t="s">
        <v>71</v>
      </c>
      <c r="C317" t="s">
        <v>405</v>
      </c>
      <c r="D317" t="s">
        <v>31</v>
      </c>
      <c r="E317" s="13">
        <v>1443110.8900000001</v>
      </c>
      <c r="F317" s="13">
        <v>7500252.5299999993</v>
      </c>
      <c r="G317" s="13">
        <v>3331107</v>
      </c>
      <c r="H317" s="13">
        <f t="shared" si="15"/>
        <v>12274470.42</v>
      </c>
      <c r="I317" s="13">
        <v>6199000</v>
      </c>
      <c r="J317" s="13">
        <f t="shared" si="16"/>
        <v>18473470.420000002</v>
      </c>
      <c r="K317" s="13"/>
      <c r="L317" s="13"/>
      <c r="M317" s="13"/>
      <c r="N317" s="50"/>
      <c r="O317" s="50"/>
      <c r="P317" s="50"/>
      <c r="Q317" t="s">
        <v>6</v>
      </c>
    </row>
    <row r="318" spans="1:17" hidden="1">
      <c r="A318" s="52" t="s">
        <v>67</v>
      </c>
      <c r="B318" s="49" t="s">
        <v>71</v>
      </c>
      <c r="C318" t="s">
        <v>406</v>
      </c>
      <c r="D318" t="s">
        <v>31</v>
      </c>
      <c r="E318" s="13">
        <v>3991996.71</v>
      </c>
      <c r="F318" s="13">
        <v>9497438.5000000019</v>
      </c>
      <c r="G318" s="13">
        <v>4286776</v>
      </c>
      <c r="H318" s="13">
        <f t="shared" si="15"/>
        <v>17776211.210000001</v>
      </c>
      <c r="I318" s="13">
        <v>6343600</v>
      </c>
      <c r="J318" s="13">
        <f t="shared" si="16"/>
        <v>24119811.210000001</v>
      </c>
      <c r="K318" s="13"/>
      <c r="L318" s="13"/>
      <c r="M318" s="13"/>
      <c r="N318" s="50"/>
      <c r="O318" s="50"/>
      <c r="P318" s="50"/>
      <c r="Q318" t="s">
        <v>6</v>
      </c>
    </row>
    <row r="319" spans="1:17" hidden="1">
      <c r="A319" s="52" t="s">
        <v>67</v>
      </c>
      <c r="B319" s="49" t="s">
        <v>71</v>
      </c>
      <c r="C319" t="s">
        <v>407</v>
      </c>
      <c r="D319" t="s">
        <v>31</v>
      </c>
      <c r="E319" s="13">
        <v>3066890.95</v>
      </c>
      <c r="F319" s="13">
        <v>18963684.210000001</v>
      </c>
      <c r="G319" s="13">
        <v>13562392</v>
      </c>
      <c r="H319" s="13">
        <f t="shared" si="15"/>
        <v>35592967.159999996</v>
      </c>
      <c r="I319" s="13">
        <v>15543333</v>
      </c>
      <c r="J319" s="13">
        <f t="shared" si="16"/>
        <v>51136300.159999996</v>
      </c>
      <c r="K319" s="13"/>
      <c r="L319" s="13"/>
      <c r="M319" s="13"/>
      <c r="N319" s="50"/>
      <c r="O319" s="50"/>
      <c r="P319" s="50"/>
      <c r="Q319" t="s">
        <v>6</v>
      </c>
    </row>
    <row r="320" spans="1:17" hidden="1">
      <c r="A320" s="52" t="s">
        <v>67</v>
      </c>
      <c r="B320" s="49" t="s">
        <v>71</v>
      </c>
      <c r="C320" t="s">
        <v>408</v>
      </c>
      <c r="D320" t="s">
        <v>9</v>
      </c>
      <c r="E320" s="13">
        <v>190186.15000000002</v>
      </c>
      <c r="F320" s="13">
        <v>124350.72</v>
      </c>
      <c r="G320" s="13">
        <v>380000</v>
      </c>
      <c r="H320" s="13">
        <f t="shared" si="15"/>
        <v>694536.87</v>
      </c>
      <c r="I320" s="13">
        <v>500000</v>
      </c>
      <c r="J320" s="13">
        <f t="shared" si="16"/>
        <v>1194536.8700000001</v>
      </c>
      <c r="K320" s="13"/>
      <c r="L320" s="13"/>
      <c r="M320" s="13"/>
      <c r="N320" s="50"/>
      <c r="O320" s="50"/>
      <c r="P320" s="50"/>
      <c r="Q320" t="s">
        <v>42</v>
      </c>
    </row>
    <row r="321" spans="1:19" hidden="1">
      <c r="A321" s="52" t="s">
        <v>67</v>
      </c>
      <c r="B321" s="49" t="s">
        <v>71</v>
      </c>
      <c r="C321" t="s">
        <v>409</v>
      </c>
      <c r="D321" t="s">
        <v>9</v>
      </c>
      <c r="E321" s="13">
        <v>441408.28000000009</v>
      </c>
      <c r="F321" s="13">
        <v>41303.919999999998</v>
      </c>
      <c r="G321" s="13"/>
      <c r="H321" s="13">
        <f t="shared" si="15"/>
        <v>482712.20000000007</v>
      </c>
      <c r="I321" s="13"/>
      <c r="J321" s="13">
        <f t="shared" si="16"/>
        <v>482712.20000000007</v>
      </c>
      <c r="K321" s="13"/>
      <c r="L321" s="13"/>
      <c r="M321" s="13"/>
      <c r="N321" s="50"/>
      <c r="O321" s="50"/>
      <c r="P321" s="50"/>
      <c r="Q321" t="s">
        <v>21</v>
      </c>
    </row>
    <row r="322" spans="1:19" hidden="1">
      <c r="A322" s="52" t="s">
        <v>67</v>
      </c>
      <c r="B322" s="49" t="s">
        <v>71</v>
      </c>
      <c r="C322" t="s">
        <v>410</v>
      </c>
      <c r="D322" t="s">
        <v>87</v>
      </c>
      <c r="E322" s="13">
        <v>14961.780000000002</v>
      </c>
      <c r="F322" s="13">
        <v>752832.89000000025</v>
      </c>
      <c r="G322" s="13">
        <v>5376270</v>
      </c>
      <c r="H322" s="13">
        <f t="shared" ref="H322:H385" si="20">+SUM(E322:G322)</f>
        <v>6144064.6699999999</v>
      </c>
      <c r="I322" s="13"/>
      <c r="J322" s="13">
        <f t="shared" ref="J322:J385" si="21">+I322+H322</f>
        <v>6144064.6699999999</v>
      </c>
      <c r="K322" s="13">
        <v>0</v>
      </c>
      <c r="L322" s="13">
        <f>+K322+J322</f>
        <v>6144064.6699999999</v>
      </c>
      <c r="M322" s="50">
        <v>0</v>
      </c>
      <c r="N322" s="50">
        <v>0</v>
      </c>
      <c r="O322" s="50">
        <v>0</v>
      </c>
      <c r="P322" s="50">
        <f>+SUM(M322:O322)</f>
        <v>0</v>
      </c>
      <c r="Q322" s="51" t="s">
        <v>24</v>
      </c>
      <c r="S322" s="13">
        <f>+P322-L322</f>
        <v>-6144064.6699999999</v>
      </c>
    </row>
    <row r="323" spans="1:19" hidden="1">
      <c r="A323" s="52" t="s">
        <v>67</v>
      </c>
      <c r="B323" s="49" t="s">
        <v>71</v>
      </c>
      <c r="C323" t="s">
        <v>411</v>
      </c>
      <c r="D323" t="s">
        <v>9</v>
      </c>
      <c r="E323" s="13"/>
      <c r="F323" s="13">
        <v>503009.57000000007</v>
      </c>
      <c r="G323" s="13"/>
      <c r="H323" s="13">
        <f t="shared" si="20"/>
        <v>503009.57000000007</v>
      </c>
      <c r="I323" s="13"/>
      <c r="J323" s="13">
        <f t="shared" si="21"/>
        <v>503009.57000000007</v>
      </c>
      <c r="K323" s="13"/>
      <c r="L323" s="13"/>
      <c r="M323" s="13"/>
      <c r="N323" s="50"/>
      <c r="O323" s="50"/>
      <c r="P323" s="50"/>
      <c r="Q323" t="s">
        <v>43</v>
      </c>
    </row>
    <row r="324" spans="1:19" hidden="1">
      <c r="A324" s="52" t="s">
        <v>67</v>
      </c>
      <c r="B324" s="49" t="s">
        <v>71</v>
      </c>
      <c r="C324" t="s">
        <v>412</v>
      </c>
      <c r="D324" t="s">
        <v>9</v>
      </c>
      <c r="E324" s="13"/>
      <c r="F324" s="13">
        <v>95257.640000000014</v>
      </c>
      <c r="G324" s="13"/>
      <c r="H324" s="13">
        <f t="shared" si="20"/>
        <v>95257.640000000014</v>
      </c>
      <c r="I324" s="13"/>
      <c r="J324" s="13">
        <f t="shared" si="21"/>
        <v>95257.640000000014</v>
      </c>
      <c r="K324" s="13"/>
      <c r="L324" s="13"/>
      <c r="M324" s="13"/>
      <c r="N324" s="50"/>
      <c r="O324" s="50"/>
      <c r="P324" s="50"/>
      <c r="Q324" t="s">
        <v>21</v>
      </c>
    </row>
    <row r="325" spans="1:19" hidden="1">
      <c r="A325" s="52" t="s">
        <v>67</v>
      </c>
      <c r="B325" s="49" t="s">
        <v>71</v>
      </c>
      <c r="C325" t="s">
        <v>413</v>
      </c>
      <c r="D325" t="s">
        <v>87</v>
      </c>
      <c r="E325" s="13">
        <v>7125473.6100000013</v>
      </c>
      <c r="F325" s="13">
        <v>63409230.070000023</v>
      </c>
      <c r="G325" s="13">
        <v>48542035.730000004</v>
      </c>
      <c r="H325" s="13">
        <f t="shared" si="20"/>
        <v>119076739.41000003</v>
      </c>
      <c r="I325" s="13">
        <v>33470470.379999999</v>
      </c>
      <c r="J325" s="13">
        <f t="shared" si="21"/>
        <v>152547209.79000002</v>
      </c>
      <c r="K325" s="13">
        <v>1983916</v>
      </c>
      <c r="L325" s="13">
        <f>+K325+J325</f>
        <v>154531125.79000002</v>
      </c>
      <c r="M325" s="50">
        <v>76792684</v>
      </c>
      <c r="N325" s="50">
        <v>68906417</v>
      </c>
      <c r="O325" s="50">
        <v>27623904</v>
      </c>
      <c r="P325" s="50">
        <f>+SUM(M325:O325)</f>
        <v>173323005</v>
      </c>
      <c r="Q325" s="51" t="s">
        <v>24</v>
      </c>
      <c r="S325" s="13"/>
    </row>
    <row r="326" spans="1:19" hidden="1">
      <c r="A326" s="52" t="s">
        <v>67</v>
      </c>
      <c r="B326" s="49" t="s">
        <v>72</v>
      </c>
      <c r="C326" t="s">
        <v>414</v>
      </c>
      <c r="D326" t="s">
        <v>9</v>
      </c>
      <c r="E326" s="13">
        <v>0</v>
      </c>
      <c r="F326" s="13"/>
      <c r="G326" s="13"/>
      <c r="H326" s="13">
        <f t="shared" si="20"/>
        <v>0</v>
      </c>
      <c r="I326" s="13"/>
      <c r="J326" s="13">
        <f t="shared" si="21"/>
        <v>0</v>
      </c>
      <c r="K326" s="13"/>
      <c r="L326" s="13"/>
      <c r="M326" s="13"/>
      <c r="N326" s="50"/>
      <c r="O326" s="50"/>
      <c r="P326" s="50"/>
      <c r="Q326" t="s">
        <v>46</v>
      </c>
    </row>
    <row r="327" spans="1:19" hidden="1">
      <c r="A327" s="52" t="s">
        <v>67</v>
      </c>
      <c r="B327" s="49" t="s">
        <v>72</v>
      </c>
      <c r="C327" t="s">
        <v>415</v>
      </c>
      <c r="D327" t="s">
        <v>9</v>
      </c>
      <c r="E327" s="13">
        <v>345152.72999999992</v>
      </c>
      <c r="F327" s="13"/>
      <c r="G327" s="13"/>
      <c r="H327" s="13">
        <f t="shared" si="20"/>
        <v>345152.72999999992</v>
      </c>
      <c r="I327" s="13"/>
      <c r="J327" s="13">
        <f t="shared" si="21"/>
        <v>345152.72999999992</v>
      </c>
      <c r="K327" s="13"/>
      <c r="L327" s="13"/>
      <c r="M327" s="13"/>
      <c r="N327" s="50"/>
      <c r="O327" s="50"/>
      <c r="P327" s="50"/>
      <c r="Q327" t="s">
        <v>46</v>
      </c>
    </row>
    <row r="328" spans="1:19" hidden="1">
      <c r="A328" s="52" t="s">
        <v>67</v>
      </c>
      <c r="B328" s="49" t="s">
        <v>72</v>
      </c>
      <c r="C328" t="s">
        <v>416</v>
      </c>
      <c r="D328" t="s">
        <v>9</v>
      </c>
      <c r="E328" s="13">
        <v>1.5631940186722204E-13</v>
      </c>
      <c r="F328" s="13"/>
      <c r="G328" s="13"/>
      <c r="H328" s="13">
        <f t="shared" si="20"/>
        <v>1.5631940186722204E-13</v>
      </c>
      <c r="I328" s="13"/>
      <c r="J328" s="13">
        <f t="shared" si="21"/>
        <v>1.5631940186722204E-13</v>
      </c>
      <c r="K328" s="13"/>
      <c r="L328" s="13"/>
      <c r="M328" s="13"/>
      <c r="N328" s="50"/>
      <c r="O328" s="50"/>
      <c r="P328" s="50"/>
      <c r="Q328" t="s">
        <v>45</v>
      </c>
    </row>
    <row r="329" spans="1:19" hidden="1">
      <c r="A329" s="52" t="s">
        <v>67</v>
      </c>
      <c r="B329" s="49" t="s">
        <v>72</v>
      </c>
      <c r="C329" t="s">
        <v>417</v>
      </c>
      <c r="D329" t="s">
        <v>9</v>
      </c>
      <c r="E329" s="13">
        <v>1261.07</v>
      </c>
      <c r="F329" s="13"/>
      <c r="G329" s="13"/>
      <c r="H329" s="13">
        <f t="shared" si="20"/>
        <v>1261.07</v>
      </c>
      <c r="I329" s="13"/>
      <c r="J329" s="13">
        <f t="shared" si="21"/>
        <v>1261.07</v>
      </c>
      <c r="K329" s="13"/>
      <c r="L329" s="13"/>
      <c r="M329" s="13"/>
      <c r="N329" s="50"/>
      <c r="O329" s="50"/>
      <c r="P329" s="50"/>
      <c r="Q329" t="s">
        <v>45</v>
      </c>
    </row>
    <row r="330" spans="1:19" hidden="1">
      <c r="A330" s="52" t="s">
        <v>67</v>
      </c>
      <c r="B330" s="49" t="s">
        <v>72</v>
      </c>
      <c r="C330" t="s">
        <v>418</v>
      </c>
      <c r="D330" t="s">
        <v>9</v>
      </c>
      <c r="E330" s="13">
        <v>-95339</v>
      </c>
      <c r="F330" s="13"/>
      <c r="G330" s="13"/>
      <c r="H330" s="13">
        <f t="shared" si="20"/>
        <v>-95339</v>
      </c>
      <c r="I330" s="13"/>
      <c r="J330" s="13">
        <f t="shared" si="21"/>
        <v>-95339</v>
      </c>
      <c r="K330" s="13"/>
      <c r="L330" s="13"/>
      <c r="M330" s="13"/>
      <c r="N330" s="50"/>
      <c r="O330" s="50"/>
      <c r="P330" s="50"/>
      <c r="Q330" t="s">
        <v>46</v>
      </c>
    </row>
    <row r="331" spans="1:19" hidden="1">
      <c r="A331" s="52" t="s">
        <v>67</v>
      </c>
      <c r="B331" s="49" t="s">
        <v>72</v>
      </c>
      <c r="C331" t="s">
        <v>419</v>
      </c>
      <c r="D331" t="s">
        <v>9</v>
      </c>
      <c r="E331" s="13">
        <v>-271897.12</v>
      </c>
      <c r="F331" s="13"/>
      <c r="G331" s="13"/>
      <c r="H331" s="13">
        <f t="shared" si="20"/>
        <v>-271897.12</v>
      </c>
      <c r="I331" s="13"/>
      <c r="J331" s="13">
        <f t="shared" si="21"/>
        <v>-271897.12</v>
      </c>
      <c r="K331" s="13"/>
      <c r="L331" s="13"/>
      <c r="M331" s="13"/>
      <c r="N331" s="50"/>
      <c r="O331" s="50"/>
      <c r="P331" s="50"/>
      <c r="Q331" t="s">
        <v>46</v>
      </c>
    </row>
    <row r="332" spans="1:19" hidden="1">
      <c r="A332" s="52" t="s">
        <v>67</v>
      </c>
      <c r="B332" s="49" t="s">
        <v>72</v>
      </c>
      <c r="C332" t="s">
        <v>420</v>
      </c>
      <c r="D332" t="s">
        <v>9</v>
      </c>
      <c r="E332" s="13">
        <v>-108137.87000000001</v>
      </c>
      <c r="F332" s="13">
        <v>11821.309999999998</v>
      </c>
      <c r="G332" s="13"/>
      <c r="H332" s="13">
        <f t="shared" si="20"/>
        <v>-96316.560000000012</v>
      </c>
      <c r="I332" s="13"/>
      <c r="J332" s="13">
        <f t="shared" si="21"/>
        <v>-96316.560000000012</v>
      </c>
      <c r="K332" s="13"/>
      <c r="L332" s="13"/>
      <c r="M332" s="13"/>
      <c r="N332" s="50"/>
      <c r="O332" s="50"/>
      <c r="P332" s="50"/>
      <c r="Q332" t="s">
        <v>45</v>
      </c>
    </row>
    <row r="333" spans="1:19" hidden="1">
      <c r="A333" s="52" t="s">
        <v>67</v>
      </c>
      <c r="B333" s="49" t="s">
        <v>72</v>
      </c>
      <c r="C333" t="s">
        <v>421</v>
      </c>
      <c r="D333" t="s">
        <v>9</v>
      </c>
      <c r="E333" s="13"/>
      <c r="F333" s="13">
        <v>149988.10999999999</v>
      </c>
      <c r="G333" s="13">
        <v>14447</v>
      </c>
      <c r="H333" s="13">
        <f t="shared" si="20"/>
        <v>164435.10999999999</v>
      </c>
      <c r="I333" s="13">
        <v>471183.96</v>
      </c>
      <c r="J333" s="13">
        <f t="shared" si="21"/>
        <v>635619.07000000007</v>
      </c>
      <c r="K333" s="13"/>
      <c r="L333" s="13"/>
      <c r="M333" s="13"/>
      <c r="N333" s="50"/>
      <c r="O333" s="50"/>
      <c r="P333" s="50"/>
      <c r="Q333" t="s">
        <v>46</v>
      </c>
    </row>
    <row r="334" spans="1:19" hidden="1">
      <c r="A334" s="52" t="s">
        <v>67</v>
      </c>
      <c r="B334" s="49" t="s">
        <v>72</v>
      </c>
      <c r="C334" t="s">
        <v>422</v>
      </c>
      <c r="D334" t="s">
        <v>9</v>
      </c>
      <c r="E334" s="13">
        <v>271907.85000000003</v>
      </c>
      <c r="F334" s="13">
        <v>330652.90999999997</v>
      </c>
      <c r="G334" s="13"/>
      <c r="H334" s="13">
        <f t="shared" si="20"/>
        <v>602560.76</v>
      </c>
      <c r="I334" s="13"/>
      <c r="J334" s="13">
        <f t="shared" si="21"/>
        <v>602560.76</v>
      </c>
      <c r="K334" s="13"/>
      <c r="L334" s="13"/>
      <c r="M334" s="13"/>
      <c r="N334" s="50"/>
      <c r="O334" s="50"/>
      <c r="P334" s="50"/>
      <c r="Q334" t="s">
        <v>42</v>
      </c>
    </row>
    <row r="335" spans="1:19" hidden="1">
      <c r="A335" s="52" t="s">
        <v>67</v>
      </c>
      <c r="B335" s="49" t="s">
        <v>72</v>
      </c>
      <c r="C335" t="s">
        <v>423</v>
      </c>
      <c r="D335" t="s">
        <v>9</v>
      </c>
      <c r="E335" s="13"/>
      <c r="F335" s="13">
        <v>1112068.52</v>
      </c>
      <c r="G335" s="13"/>
      <c r="H335" s="13">
        <f t="shared" si="20"/>
        <v>1112068.52</v>
      </c>
      <c r="I335" s="13"/>
      <c r="J335" s="13">
        <f t="shared" si="21"/>
        <v>1112068.52</v>
      </c>
      <c r="K335" s="13"/>
      <c r="L335" s="13"/>
      <c r="M335" s="13"/>
      <c r="N335" s="50"/>
      <c r="O335" s="50"/>
      <c r="P335" s="50"/>
      <c r="Q335" t="s">
        <v>42</v>
      </c>
    </row>
    <row r="336" spans="1:19" hidden="1">
      <c r="A336" s="52" t="s">
        <v>67</v>
      </c>
      <c r="B336" s="49" t="s">
        <v>72</v>
      </c>
      <c r="C336" t="s">
        <v>424</v>
      </c>
      <c r="D336" t="s">
        <v>9</v>
      </c>
      <c r="E336" s="13"/>
      <c r="F336" s="13"/>
      <c r="G336" s="13">
        <v>1500000</v>
      </c>
      <c r="H336" s="13">
        <f t="shared" si="20"/>
        <v>1500000</v>
      </c>
      <c r="I336" s="13"/>
      <c r="J336" s="13">
        <f t="shared" si="21"/>
        <v>1500000</v>
      </c>
      <c r="K336" s="13"/>
      <c r="L336" s="13"/>
      <c r="M336" s="13"/>
      <c r="N336" s="50"/>
      <c r="O336" s="50"/>
      <c r="P336" s="50"/>
      <c r="Q336" t="s">
        <v>42</v>
      </c>
    </row>
    <row r="337" spans="1:17" hidden="1">
      <c r="A337" s="52" t="s">
        <v>67</v>
      </c>
      <c r="B337" s="49" t="s">
        <v>72</v>
      </c>
      <c r="C337" t="s">
        <v>425</v>
      </c>
      <c r="D337" t="s">
        <v>9</v>
      </c>
      <c r="E337" s="13"/>
      <c r="F337" s="13"/>
      <c r="G337" s="13"/>
      <c r="H337" s="13">
        <f t="shared" si="20"/>
        <v>0</v>
      </c>
      <c r="I337" s="13">
        <v>2000000.08</v>
      </c>
      <c r="J337" s="13">
        <f t="shared" si="21"/>
        <v>2000000.08</v>
      </c>
      <c r="K337" s="13"/>
      <c r="L337" s="13"/>
      <c r="M337" s="13"/>
      <c r="N337" s="50"/>
      <c r="O337" s="50"/>
      <c r="P337" s="50"/>
      <c r="Q337" t="s">
        <v>42</v>
      </c>
    </row>
    <row r="338" spans="1:17" hidden="1">
      <c r="A338" s="52" t="s">
        <v>67</v>
      </c>
      <c r="B338" s="49" t="s">
        <v>72</v>
      </c>
      <c r="C338" t="s">
        <v>426</v>
      </c>
      <c r="D338" t="s">
        <v>9</v>
      </c>
      <c r="E338" s="13"/>
      <c r="F338" s="13">
        <v>312574.21999999991</v>
      </c>
      <c r="G338" s="13">
        <v>1927234</v>
      </c>
      <c r="H338" s="13">
        <f t="shared" si="20"/>
        <v>2239808.2199999997</v>
      </c>
      <c r="I338" s="13"/>
      <c r="J338" s="13">
        <f t="shared" si="21"/>
        <v>2239808.2199999997</v>
      </c>
      <c r="K338" s="13"/>
      <c r="L338" s="13"/>
      <c r="M338" s="13"/>
      <c r="N338" s="50"/>
      <c r="O338" s="50"/>
      <c r="P338" s="50"/>
      <c r="Q338" t="s">
        <v>46</v>
      </c>
    </row>
    <row r="339" spans="1:17" hidden="1">
      <c r="A339" s="52" t="s">
        <v>67</v>
      </c>
      <c r="B339" s="49" t="s">
        <v>72</v>
      </c>
      <c r="C339" t="s">
        <v>427</v>
      </c>
      <c r="D339" t="s">
        <v>9</v>
      </c>
      <c r="E339" s="13"/>
      <c r="F339" s="13">
        <v>1119039.56</v>
      </c>
      <c r="G339" s="13">
        <v>488108</v>
      </c>
      <c r="H339" s="13">
        <f t="shared" si="20"/>
        <v>1607147.56</v>
      </c>
      <c r="I339" s="13"/>
      <c r="J339" s="13">
        <f t="shared" si="21"/>
        <v>1607147.56</v>
      </c>
      <c r="K339" s="13"/>
      <c r="L339" s="13"/>
      <c r="M339" s="13"/>
      <c r="N339" s="50"/>
      <c r="O339" s="50"/>
      <c r="P339" s="50"/>
      <c r="Q339" t="s">
        <v>43</v>
      </c>
    </row>
    <row r="340" spans="1:17" hidden="1">
      <c r="A340" s="52" t="s">
        <v>67</v>
      </c>
      <c r="B340" s="49" t="s">
        <v>72</v>
      </c>
      <c r="C340" t="s">
        <v>428</v>
      </c>
      <c r="D340" t="s">
        <v>9</v>
      </c>
      <c r="E340" s="13">
        <v>20632.830000000002</v>
      </c>
      <c r="F340" s="13">
        <v>0</v>
      </c>
      <c r="G340" s="13"/>
      <c r="H340" s="13">
        <f t="shared" si="20"/>
        <v>20632.830000000002</v>
      </c>
      <c r="I340" s="13"/>
      <c r="J340" s="13">
        <f t="shared" si="21"/>
        <v>20632.830000000002</v>
      </c>
      <c r="K340" s="13"/>
      <c r="L340" s="13"/>
      <c r="M340" s="13"/>
      <c r="N340" s="50"/>
      <c r="O340" s="50"/>
      <c r="P340" s="50"/>
      <c r="Q340" t="s">
        <v>45</v>
      </c>
    </row>
    <row r="341" spans="1:17" hidden="1">
      <c r="A341" s="52" t="s">
        <v>67</v>
      </c>
      <c r="B341" s="49" t="s">
        <v>72</v>
      </c>
      <c r="C341" t="s">
        <v>429</v>
      </c>
      <c r="D341" t="s">
        <v>9</v>
      </c>
      <c r="E341" s="13"/>
      <c r="F341" s="13"/>
      <c r="G341" s="13"/>
      <c r="H341" s="13">
        <f t="shared" si="20"/>
        <v>0</v>
      </c>
      <c r="I341" s="13">
        <v>750000</v>
      </c>
      <c r="J341" s="13">
        <f t="shared" si="21"/>
        <v>750000</v>
      </c>
      <c r="K341" s="13"/>
      <c r="L341" s="13"/>
      <c r="M341" s="13"/>
      <c r="N341" s="50"/>
      <c r="O341" s="50"/>
      <c r="P341" s="50"/>
      <c r="Q341" t="s">
        <v>46</v>
      </c>
    </row>
    <row r="342" spans="1:17" hidden="1">
      <c r="A342" s="52" t="s">
        <v>67</v>
      </c>
      <c r="B342" s="49" t="s">
        <v>72</v>
      </c>
      <c r="C342" t="s">
        <v>430</v>
      </c>
      <c r="D342" t="s">
        <v>9</v>
      </c>
      <c r="E342" s="13">
        <v>4164.16</v>
      </c>
      <c r="F342" s="13">
        <v>31628.38</v>
      </c>
      <c r="G342" s="13"/>
      <c r="H342" s="13">
        <f t="shared" si="20"/>
        <v>35792.54</v>
      </c>
      <c r="I342" s="13"/>
      <c r="J342" s="13">
        <f t="shared" si="21"/>
        <v>35792.54</v>
      </c>
      <c r="K342" s="13"/>
      <c r="L342" s="13"/>
      <c r="M342" s="13"/>
      <c r="N342" s="50"/>
      <c r="O342" s="50"/>
      <c r="P342" s="50"/>
      <c r="Q342" t="s">
        <v>42</v>
      </c>
    </row>
    <row r="343" spans="1:17" hidden="1">
      <c r="A343" s="52" t="s">
        <v>67</v>
      </c>
      <c r="B343" s="49" t="s">
        <v>72</v>
      </c>
      <c r="C343" t="s">
        <v>431</v>
      </c>
      <c r="D343" t="s">
        <v>9</v>
      </c>
      <c r="E343" s="13">
        <v>427075.16000000009</v>
      </c>
      <c r="F343" s="13">
        <v>432068.07000000012</v>
      </c>
      <c r="G343" s="13"/>
      <c r="H343" s="13">
        <f t="shared" si="20"/>
        <v>859143.23000000021</v>
      </c>
      <c r="I343" s="13"/>
      <c r="J343" s="13">
        <f t="shared" si="21"/>
        <v>859143.23000000021</v>
      </c>
      <c r="K343" s="13"/>
      <c r="L343" s="13"/>
      <c r="M343" s="13"/>
      <c r="N343" s="50"/>
      <c r="O343" s="50"/>
      <c r="P343" s="50"/>
      <c r="Q343" t="s">
        <v>42</v>
      </c>
    </row>
    <row r="344" spans="1:17" hidden="1">
      <c r="A344" s="52" t="s">
        <v>67</v>
      </c>
      <c r="B344" s="49" t="s">
        <v>72</v>
      </c>
      <c r="C344" t="s">
        <v>432</v>
      </c>
      <c r="D344" t="s">
        <v>9</v>
      </c>
      <c r="E344" s="13"/>
      <c r="F344" s="13">
        <v>1953611.2600000009</v>
      </c>
      <c r="G344" s="13"/>
      <c r="H344" s="13">
        <f t="shared" si="20"/>
        <v>1953611.2600000009</v>
      </c>
      <c r="I344" s="13"/>
      <c r="J344" s="13">
        <f t="shared" si="21"/>
        <v>1953611.2600000009</v>
      </c>
      <c r="K344" s="13"/>
      <c r="L344" s="13"/>
      <c r="M344" s="13"/>
      <c r="N344" s="50"/>
      <c r="O344" s="50"/>
      <c r="P344" s="50"/>
      <c r="Q344" t="s">
        <v>42</v>
      </c>
    </row>
    <row r="345" spans="1:17" hidden="1">
      <c r="A345" s="52" t="s">
        <v>67</v>
      </c>
      <c r="B345" s="49" t="s">
        <v>72</v>
      </c>
      <c r="C345" t="s">
        <v>433</v>
      </c>
      <c r="D345" t="s">
        <v>9</v>
      </c>
      <c r="E345" s="13"/>
      <c r="F345" s="13"/>
      <c r="G345" s="13">
        <v>1000000</v>
      </c>
      <c r="H345" s="13">
        <f t="shared" si="20"/>
        <v>1000000</v>
      </c>
      <c r="I345" s="13"/>
      <c r="J345" s="13">
        <f t="shared" si="21"/>
        <v>1000000</v>
      </c>
      <c r="K345" s="13"/>
      <c r="L345" s="13"/>
      <c r="M345" s="13"/>
      <c r="N345" s="50"/>
      <c r="O345" s="50"/>
      <c r="P345" s="50"/>
      <c r="Q345" t="s">
        <v>42</v>
      </c>
    </row>
    <row r="346" spans="1:17" hidden="1">
      <c r="A346" s="52" t="s">
        <v>67</v>
      </c>
      <c r="B346" s="49" t="s">
        <v>72</v>
      </c>
      <c r="C346" t="s">
        <v>434</v>
      </c>
      <c r="D346" t="s">
        <v>9</v>
      </c>
      <c r="E346" s="13"/>
      <c r="F346" s="13"/>
      <c r="G346" s="13"/>
      <c r="H346" s="13">
        <f t="shared" si="20"/>
        <v>0</v>
      </c>
      <c r="I346" s="13">
        <v>999999.84</v>
      </c>
      <c r="J346" s="13">
        <f t="shared" si="21"/>
        <v>999999.84</v>
      </c>
      <c r="K346" s="13"/>
      <c r="L346" s="13"/>
      <c r="M346" s="13"/>
      <c r="N346" s="50"/>
      <c r="O346" s="50"/>
      <c r="P346" s="50"/>
      <c r="Q346" t="s">
        <v>42</v>
      </c>
    </row>
    <row r="347" spans="1:17" hidden="1">
      <c r="A347" s="52" t="s">
        <v>67</v>
      </c>
      <c r="B347" s="49" t="s">
        <v>72</v>
      </c>
      <c r="C347" t="s">
        <v>435</v>
      </c>
      <c r="D347" t="s">
        <v>9</v>
      </c>
      <c r="E347" s="13"/>
      <c r="F347" s="13">
        <v>855780.22</v>
      </c>
      <c r="G347" s="13"/>
      <c r="H347" s="13">
        <f t="shared" si="20"/>
        <v>855780.22</v>
      </c>
      <c r="I347" s="13"/>
      <c r="J347" s="13">
        <f t="shared" si="21"/>
        <v>855780.22</v>
      </c>
      <c r="K347" s="13"/>
      <c r="L347" s="13"/>
      <c r="M347" s="13"/>
      <c r="N347" s="50"/>
      <c r="O347" s="50"/>
      <c r="P347" s="50"/>
      <c r="Q347" t="s">
        <v>46</v>
      </c>
    </row>
    <row r="348" spans="1:17" hidden="1">
      <c r="A348" s="52" t="s">
        <v>67</v>
      </c>
      <c r="B348" s="49" t="s">
        <v>72</v>
      </c>
      <c r="C348" t="s">
        <v>436</v>
      </c>
      <c r="D348" t="s">
        <v>9</v>
      </c>
      <c r="E348" s="13"/>
      <c r="F348" s="13">
        <v>375715.98</v>
      </c>
      <c r="G348" s="13">
        <v>627201.04</v>
      </c>
      <c r="H348" s="13">
        <f t="shared" si="20"/>
        <v>1002917.02</v>
      </c>
      <c r="I348" s="13"/>
      <c r="J348" s="13">
        <f t="shared" si="21"/>
        <v>1002917.02</v>
      </c>
      <c r="K348" s="13"/>
      <c r="L348" s="13"/>
      <c r="M348" s="13"/>
      <c r="N348" s="50"/>
      <c r="O348" s="50"/>
      <c r="P348" s="50"/>
      <c r="Q348" t="s">
        <v>46</v>
      </c>
    </row>
    <row r="349" spans="1:17" hidden="1">
      <c r="A349" s="52" t="s">
        <v>67</v>
      </c>
      <c r="B349" s="49" t="s">
        <v>72</v>
      </c>
      <c r="C349" t="s">
        <v>437</v>
      </c>
      <c r="D349" t="s">
        <v>9</v>
      </c>
      <c r="E349" s="13"/>
      <c r="F349" s="13">
        <v>31323.15</v>
      </c>
      <c r="G349" s="13"/>
      <c r="H349" s="13">
        <f t="shared" si="20"/>
        <v>31323.15</v>
      </c>
      <c r="I349" s="13"/>
      <c r="J349" s="13">
        <f t="shared" si="21"/>
        <v>31323.15</v>
      </c>
      <c r="K349" s="13"/>
      <c r="L349" s="13"/>
      <c r="M349" s="13"/>
      <c r="N349" s="50"/>
      <c r="O349" s="50"/>
      <c r="P349" s="50"/>
      <c r="Q349" t="s">
        <v>46</v>
      </c>
    </row>
    <row r="350" spans="1:17" hidden="1">
      <c r="A350" s="52" t="s">
        <v>67</v>
      </c>
      <c r="B350" s="49" t="s">
        <v>72</v>
      </c>
      <c r="C350" t="s">
        <v>438</v>
      </c>
      <c r="D350" t="s">
        <v>9</v>
      </c>
      <c r="E350" s="13">
        <v>9909.9700000000012</v>
      </c>
      <c r="F350" s="13">
        <v>785737.70000000019</v>
      </c>
      <c r="G350" s="13"/>
      <c r="H350" s="13">
        <f t="shared" si="20"/>
        <v>795647.67000000016</v>
      </c>
      <c r="I350" s="13"/>
      <c r="J350" s="13">
        <f t="shared" si="21"/>
        <v>795647.67000000016</v>
      </c>
      <c r="K350" s="13"/>
      <c r="L350" s="13"/>
      <c r="M350" s="13"/>
      <c r="N350" s="50"/>
      <c r="O350" s="50"/>
      <c r="P350" s="50"/>
      <c r="Q350" t="s">
        <v>46</v>
      </c>
    </row>
    <row r="351" spans="1:17" hidden="1">
      <c r="A351" s="52" t="s">
        <v>67</v>
      </c>
      <c r="B351" s="49" t="s">
        <v>72</v>
      </c>
      <c r="C351" t="s">
        <v>439</v>
      </c>
      <c r="D351" t="s">
        <v>9</v>
      </c>
      <c r="E351" s="13"/>
      <c r="F351" s="13"/>
      <c r="G351" s="13"/>
      <c r="H351" s="13">
        <f t="shared" si="20"/>
        <v>0</v>
      </c>
      <c r="I351" s="13">
        <v>1000000</v>
      </c>
      <c r="J351" s="13">
        <f t="shared" si="21"/>
        <v>1000000</v>
      </c>
      <c r="K351" s="13"/>
      <c r="L351" s="13"/>
      <c r="M351" s="13"/>
      <c r="N351" s="50"/>
      <c r="O351" s="50"/>
      <c r="P351" s="50"/>
      <c r="Q351" t="s">
        <v>45</v>
      </c>
    </row>
    <row r="352" spans="1:17" hidden="1">
      <c r="A352" s="52" t="s">
        <v>67</v>
      </c>
      <c r="B352" s="49" t="s">
        <v>72</v>
      </c>
      <c r="C352" t="s">
        <v>440</v>
      </c>
      <c r="D352" t="s">
        <v>9</v>
      </c>
      <c r="E352" s="13"/>
      <c r="F352" s="13"/>
      <c r="G352" s="13"/>
      <c r="H352" s="13">
        <f t="shared" si="20"/>
        <v>0</v>
      </c>
      <c r="I352" s="13">
        <v>349998</v>
      </c>
      <c r="J352" s="13">
        <f t="shared" si="21"/>
        <v>349998</v>
      </c>
      <c r="K352" s="13"/>
      <c r="L352" s="13"/>
      <c r="M352" s="13"/>
      <c r="N352" s="50"/>
      <c r="O352" s="50"/>
      <c r="P352" s="50"/>
      <c r="Q352" t="s">
        <v>45</v>
      </c>
    </row>
    <row r="353" spans="1:17" hidden="1">
      <c r="A353" s="52" t="s">
        <v>67</v>
      </c>
      <c r="B353" s="49" t="s">
        <v>72</v>
      </c>
      <c r="C353" t="s">
        <v>441</v>
      </c>
      <c r="D353" t="s">
        <v>9</v>
      </c>
      <c r="E353" s="13">
        <v>-491.80000000000007</v>
      </c>
      <c r="F353" s="13"/>
      <c r="G353" s="13"/>
      <c r="H353" s="13">
        <f t="shared" si="20"/>
        <v>-491.80000000000007</v>
      </c>
      <c r="I353" s="13"/>
      <c r="J353" s="13">
        <f t="shared" si="21"/>
        <v>-491.80000000000007</v>
      </c>
      <c r="K353" s="13"/>
      <c r="L353" s="13"/>
      <c r="M353" s="13"/>
      <c r="N353" s="50"/>
      <c r="O353" s="50"/>
      <c r="P353" s="50"/>
      <c r="Q353" t="s">
        <v>45</v>
      </c>
    </row>
    <row r="354" spans="1:17" hidden="1">
      <c r="A354" s="52" t="s">
        <v>67</v>
      </c>
      <c r="B354" s="49" t="s">
        <v>72</v>
      </c>
      <c r="C354" t="s">
        <v>442</v>
      </c>
      <c r="D354" t="s">
        <v>9</v>
      </c>
      <c r="E354" s="13">
        <v>3228922.4299999997</v>
      </c>
      <c r="F354" s="13">
        <v>-314787.88999999996</v>
      </c>
      <c r="G354" s="13"/>
      <c r="H354" s="13">
        <f t="shared" si="20"/>
        <v>2914134.5399999996</v>
      </c>
      <c r="I354" s="13"/>
      <c r="J354" s="13">
        <f t="shared" si="21"/>
        <v>2914134.5399999996</v>
      </c>
      <c r="K354" s="13"/>
      <c r="L354" s="13"/>
      <c r="M354" s="13"/>
      <c r="N354" s="50"/>
      <c r="O354" s="50"/>
      <c r="P354" s="50"/>
      <c r="Q354" t="s">
        <v>45</v>
      </c>
    </row>
    <row r="355" spans="1:17" hidden="1">
      <c r="A355" s="52" t="s">
        <v>67</v>
      </c>
      <c r="B355" s="49" t="s">
        <v>72</v>
      </c>
      <c r="C355" t="s">
        <v>443</v>
      </c>
      <c r="D355" t="s">
        <v>9</v>
      </c>
      <c r="E355" s="13">
        <v>0</v>
      </c>
      <c r="F355" s="13">
        <v>-1315705.8899999997</v>
      </c>
      <c r="G355" s="13"/>
      <c r="H355" s="13">
        <f t="shared" si="20"/>
        <v>-1315705.8899999997</v>
      </c>
      <c r="I355" s="13"/>
      <c r="J355" s="13">
        <f t="shared" si="21"/>
        <v>-1315705.8899999997</v>
      </c>
      <c r="K355" s="13"/>
      <c r="L355" s="13"/>
      <c r="M355" s="13"/>
      <c r="N355" s="50"/>
      <c r="O355" s="50"/>
      <c r="P355" s="50"/>
      <c r="Q355" t="s">
        <v>45</v>
      </c>
    </row>
    <row r="356" spans="1:17" hidden="1">
      <c r="A356" s="52" t="s">
        <v>67</v>
      </c>
      <c r="B356" s="49" t="s">
        <v>72</v>
      </c>
      <c r="C356" t="s">
        <v>444</v>
      </c>
      <c r="D356" t="s">
        <v>9</v>
      </c>
      <c r="E356" s="13"/>
      <c r="F356" s="13">
        <v>107996.74000000002</v>
      </c>
      <c r="G356" s="13">
        <v>277893</v>
      </c>
      <c r="H356" s="13">
        <f t="shared" si="20"/>
        <v>385889.74</v>
      </c>
      <c r="I356" s="13"/>
      <c r="J356" s="13">
        <f t="shared" si="21"/>
        <v>385889.74</v>
      </c>
      <c r="K356" s="13"/>
      <c r="L356" s="13"/>
      <c r="M356" s="13"/>
      <c r="N356" s="50"/>
      <c r="O356" s="50"/>
      <c r="P356" s="50"/>
      <c r="Q356" t="s">
        <v>46</v>
      </c>
    </row>
    <row r="357" spans="1:17" hidden="1">
      <c r="A357" s="52" t="s">
        <v>67</v>
      </c>
      <c r="B357" s="49" t="s">
        <v>72</v>
      </c>
      <c r="C357" t="s">
        <v>445</v>
      </c>
      <c r="D357" t="s">
        <v>9</v>
      </c>
      <c r="E357" s="13"/>
      <c r="F357" s="13"/>
      <c r="G357" s="13"/>
      <c r="H357" s="13">
        <f t="shared" si="20"/>
        <v>0</v>
      </c>
      <c r="I357" s="13">
        <v>1000000</v>
      </c>
      <c r="J357" s="13">
        <f t="shared" si="21"/>
        <v>1000000</v>
      </c>
      <c r="K357" s="13"/>
      <c r="L357" s="13"/>
      <c r="M357" s="13"/>
      <c r="N357" s="50"/>
      <c r="O357" s="50"/>
      <c r="P357" s="50"/>
      <c r="Q357" t="s">
        <v>45</v>
      </c>
    </row>
    <row r="358" spans="1:17" hidden="1">
      <c r="A358" s="52" t="s">
        <v>67</v>
      </c>
      <c r="B358" s="49" t="s">
        <v>72</v>
      </c>
      <c r="C358" t="s">
        <v>446</v>
      </c>
      <c r="D358" t="s">
        <v>9</v>
      </c>
      <c r="E358" s="13"/>
      <c r="F358" s="13"/>
      <c r="G358" s="13"/>
      <c r="H358" s="13">
        <f t="shared" si="20"/>
        <v>0</v>
      </c>
      <c r="I358" s="13">
        <v>1000000</v>
      </c>
      <c r="J358" s="13">
        <f t="shared" si="21"/>
        <v>1000000</v>
      </c>
      <c r="K358" s="13"/>
      <c r="L358" s="13"/>
      <c r="M358" s="13"/>
      <c r="N358" s="50"/>
      <c r="O358" s="50"/>
      <c r="P358" s="50"/>
      <c r="Q358" t="s">
        <v>45</v>
      </c>
    </row>
    <row r="359" spans="1:17" hidden="1">
      <c r="A359" s="52" t="s">
        <v>67</v>
      </c>
      <c r="B359" s="49" t="s">
        <v>72</v>
      </c>
      <c r="C359" t="s">
        <v>447</v>
      </c>
      <c r="D359" t="s">
        <v>9</v>
      </c>
      <c r="E359" s="13"/>
      <c r="F359" s="13">
        <v>270190.01</v>
      </c>
      <c r="G359" s="13">
        <v>31311</v>
      </c>
      <c r="H359" s="13">
        <f t="shared" si="20"/>
        <v>301501.01</v>
      </c>
      <c r="I359" s="13">
        <v>264888</v>
      </c>
      <c r="J359" s="13">
        <f t="shared" si="21"/>
        <v>566389.01</v>
      </c>
      <c r="K359" s="13"/>
      <c r="L359" s="13"/>
      <c r="M359" s="13"/>
      <c r="N359" s="50"/>
      <c r="O359" s="50"/>
      <c r="P359" s="50"/>
      <c r="Q359" t="s">
        <v>45</v>
      </c>
    </row>
    <row r="360" spans="1:17" hidden="1">
      <c r="A360" s="52" t="s">
        <v>67</v>
      </c>
      <c r="B360" s="49" t="s">
        <v>72</v>
      </c>
      <c r="C360" t="s">
        <v>448</v>
      </c>
      <c r="D360" t="s">
        <v>9</v>
      </c>
      <c r="E360" s="13">
        <v>9688.1500000000233</v>
      </c>
      <c r="F360" s="13"/>
      <c r="G360" s="13"/>
      <c r="H360" s="13">
        <f t="shared" si="20"/>
        <v>9688.1500000000233</v>
      </c>
      <c r="I360" s="13"/>
      <c r="J360" s="13">
        <f t="shared" si="21"/>
        <v>9688.1500000000233</v>
      </c>
      <c r="K360" s="13"/>
      <c r="L360" s="13"/>
      <c r="M360" s="13"/>
      <c r="N360" s="50"/>
      <c r="O360" s="50"/>
      <c r="P360" s="50"/>
      <c r="Q360" t="s">
        <v>45</v>
      </c>
    </row>
    <row r="361" spans="1:17" hidden="1">
      <c r="A361" s="52" t="s">
        <v>67</v>
      </c>
      <c r="B361" s="49" t="s">
        <v>72</v>
      </c>
      <c r="C361" t="s">
        <v>449</v>
      </c>
      <c r="D361" t="s">
        <v>9</v>
      </c>
      <c r="E361" s="13"/>
      <c r="F361" s="13">
        <v>127236.98999999999</v>
      </c>
      <c r="G361" s="13">
        <v>491282</v>
      </c>
      <c r="H361" s="13">
        <f t="shared" si="20"/>
        <v>618518.99</v>
      </c>
      <c r="I361" s="13">
        <v>1625119</v>
      </c>
      <c r="J361" s="13">
        <f t="shared" si="21"/>
        <v>2243637.9900000002</v>
      </c>
      <c r="K361" s="13"/>
      <c r="L361" s="13"/>
      <c r="M361" s="13"/>
      <c r="N361" s="50"/>
      <c r="O361" s="50"/>
      <c r="P361" s="50"/>
      <c r="Q361" t="s">
        <v>45</v>
      </c>
    </row>
    <row r="362" spans="1:17" hidden="1">
      <c r="A362" s="52" t="s">
        <v>67</v>
      </c>
      <c r="B362" s="49" t="s">
        <v>72</v>
      </c>
      <c r="C362" t="s">
        <v>450</v>
      </c>
      <c r="D362" t="s">
        <v>9</v>
      </c>
      <c r="E362" s="13"/>
      <c r="F362" s="13">
        <v>800289.45</v>
      </c>
      <c r="G362" s="13"/>
      <c r="H362" s="13">
        <f t="shared" si="20"/>
        <v>800289.45</v>
      </c>
      <c r="I362" s="13"/>
      <c r="J362" s="13">
        <f t="shared" si="21"/>
        <v>800289.45</v>
      </c>
      <c r="K362" s="13"/>
      <c r="L362" s="13"/>
      <c r="M362" s="13"/>
      <c r="N362" s="50"/>
      <c r="O362" s="50"/>
      <c r="P362" s="50"/>
      <c r="Q362" t="s">
        <v>45</v>
      </c>
    </row>
    <row r="363" spans="1:17" hidden="1">
      <c r="A363" s="52" t="s">
        <v>67</v>
      </c>
      <c r="B363" s="49" t="s">
        <v>72</v>
      </c>
      <c r="C363" t="s">
        <v>451</v>
      </c>
      <c r="D363" t="s">
        <v>9</v>
      </c>
      <c r="E363" s="13">
        <v>-42268.92</v>
      </c>
      <c r="F363" s="13">
        <v>648659.2699999999</v>
      </c>
      <c r="G363" s="13"/>
      <c r="H363" s="13">
        <f t="shared" si="20"/>
        <v>606390.34999999986</v>
      </c>
      <c r="I363" s="13">
        <v>1000000</v>
      </c>
      <c r="J363" s="13">
        <f t="shared" si="21"/>
        <v>1606390.3499999999</v>
      </c>
      <c r="K363" s="13"/>
      <c r="L363" s="13"/>
      <c r="M363" s="13"/>
      <c r="N363" s="50"/>
      <c r="O363" s="50"/>
      <c r="P363" s="50"/>
      <c r="Q363" t="s">
        <v>46</v>
      </c>
    </row>
    <row r="364" spans="1:17" hidden="1">
      <c r="A364" s="52" t="s">
        <v>67</v>
      </c>
      <c r="B364" s="49" t="s">
        <v>72</v>
      </c>
      <c r="C364" t="s">
        <v>452</v>
      </c>
      <c r="D364" t="s">
        <v>9</v>
      </c>
      <c r="E364" s="13"/>
      <c r="F364" s="13"/>
      <c r="G364" s="13"/>
      <c r="H364" s="13">
        <f t="shared" si="20"/>
        <v>0</v>
      </c>
      <c r="I364" s="13">
        <v>1399999.97</v>
      </c>
      <c r="J364" s="13">
        <f t="shared" si="21"/>
        <v>1399999.97</v>
      </c>
      <c r="K364" s="13"/>
      <c r="L364" s="13"/>
      <c r="M364" s="13"/>
      <c r="N364" s="50"/>
      <c r="O364" s="50"/>
      <c r="P364" s="50"/>
      <c r="Q364" t="s">
        <v>45</v>
      </c>
    </row>
    <row r="365" spans="1:17" hidden="1">
      <c r="A365" s="52" t="s">
        <v>67</v>
      </c>
      <c r="B365" s="49" t="s">
        <v>72</v>
      </c>
      <c r="C365" t="s">
        <v>453</v>
      </c>
      <c r="D365" t="s">
        <v>9</v>
      </c>
      <c r="E365" s="13"/>
      <c r="F365" s="13">
        <v>2741982.92</v>
      </c>
      <c r="G365" s="13">
        <v>700000</v>
      </c>
      <c r="H365" s="13">
        <f t="shared" si="20"/>
        <v>3441982.92</v>
      </c>
      <c r="I365" s="13"/>
      <c r="J365" s="13">
        <f t="shared" si="21"/>
        <v>3441982.92</v>
      </c>
      <c r="K365" s="13"/>
      <c r="L365" s="13"/>
      <c r="M365" s="13"/>
      <c r="N365" s="50"/>
      <c r="O365" s="50"/>
      <c r="P365" s="50"/>
      <c r="Q365" t="s">
        <v>45</v>
      </c>
    </row>
    <row r="366" spans="1:17" hidden="1">
      <c r="A366" s="52" t="s">
        <v>67</v>
      </c>
      <c r="B366" s="49" t="s">
        <v>72</v>
      </c>
      <c r="C366" t="s">
        <v>454</v>
      </c>
      <c r="D366" t="s">
        <v>9</v>
      </c>
      <c r="E366" s="13"/>
      <c r="F366" s="13"/>
      <c r="G366" s="13"/>
      <c r="H366" s="13">
        <f t="shared" si="20"/>
        <v>0</v>
      </c>
      <c r="I366" s="13">
        <v>1000000</v>
      </c>
      <c r="J366" s="13">
        <f t="shared" si="21"/>
        <v>1000000</v>
      </c>
      <c r="K366" s="13"/>
      <c r="L366" s="13"/>
      <c r="M366" s="13"/>
      <c r="N366" s="50"/>
      <c r="O366" s="50"/>
      <c r="P366" s="50"/>
      <c r="Q366" t="s">
        <v>45</v>
      </c>
    </row>
    <row r="367" spans="1:17" hidden="1">
      <c r="A367" s="52" t="s">
        <v>67</v>
      </c>
      <c r="B367" s="49" t="s">
        <v>72</v>
      </c>
      <c r="C367" t="s">
        <v>455</v>
      </c>
      <c r="D367" t="s">
        <v>9</v>
      </c>
      <c r="E367" s="13"/>
      <c r="F367" s="13"/>
      <c r="G367" s="13"/>
      <c r="H367" s="13">
        <f t="shared" si="20"/>
        <v>0</v>
      </c>
      <c r="I367" s="13">
        <v>400000</v>
      </c>
      <c r="J367" s="13">
        <f t="shared" si="21"/>
        <v>400000</v>
      </c>
      <c r="K367" s="13"/>
      <c r="L367" s="13"/>
      <c r="M367" s="13"/>
      <c r="N367" s="50"/>
      <c r="O367" s="50"/>
      <c r="P367" s="50"/>
      <c r="Q367" t="s">
        <v>45</v>
      </c>
    </row>
    <row r="368" spans="1:17" hidden="1">
      <c r="A368" s="52" t="s">
        <v>67</v>
      </c>
      <c r="B368" s="49" t="s">
        <v>72</v>
      </c>
      <c r="C368" t="s">
        <v>456</v>
      </c>
      <c r="D368" t="s">
        <v>9</v>
      </c>
      <c r="E368" s="13">
        <v>7740.0499999999993</v>
      </c>
      <c r="F368" s="13"/>
      <c r="G368" s="13"/>
      <c r="H368" s="13">
        <f t="shared" si="20"/>
        <v>7740.0499999999993</v>
      </c>
      <c r="I368" s="13"/>
      <c r="J368" s="13">
        <f t="shared" si="21"/>
        <v>7740.0499999999993</v>
      </c>
      <c r="K368" s="13"/>
      <c r="L368" s="13"/>
      <c r="M368" s="13"/>
      <c r="N368" s="50"/>
      <c r="O368" s="50"/>
      <c r="P368" s="50"/>
      <c r="Q368" t="s">
        <v>45</v>
      </c>
    </row>
    <row r="369" spans="1:17" hidden="1">
      <c r="A369" s="52" t="s">
        <v>67</v>
      </c>
      <c r="B369" s="49" t="s">
        <v>72</v>
      </c>
      <c r="C369" t="s">
        <v>457</v>
      </c>
      <c r="D369" t="s">
        <v>9</v>
      </c>
      <c r="E369" s="13"/>
      <c r="F369" s="13"/>
      <c r="G369" s="13"/>
      <c r="H369" s="13">
        <f t="shared" si="20"/>
        <v>0</v>
      </c>
      <c r="I369" s="13">
        <v>1200000</v>
      </c>
      <c r="J369" s="13">
        <f t="shared" si="21"/>
        <v>1200000</v>
      </c>
      <c r="K369" s="13"/>
      <c r="L369" s="13"/>
      <c r="M369" s="13"/>
      <c r="N369" s="50"/>
      <c r="O369" s="50"/>
      <c r="P369" s="50"/>
      <c r="Q369" t="s">
        <v>45</v>
      </c>
    </row>
    <row r="370" spans="1:17" hidden="1">
      <c r="A370" s="52" t="s">
        <v>67</v>
      </c>
      <c r="B370" s="49" t="s">
        <v>72</v>
      </c>
      <c r="C370" t="s">
        <v>458</v>
      </c>
      <c r="D370" t="s">
        <v>9</v>
      </c>
      <c r="E370" s="13"/>
      <c r="F370" s="13">
        <v>127583.72</v>
      </c>
      <c r="G370" s="13">
        <v>575621</v>
      </c>
      <c r="H370" s="13">
        <f t="shared" si="20"/>
        <v>703204.72</v>
      </c>
      <c r="I370" s="13">
        <v>1611013</v>
      </c>
      <c r="J370" s="13">
        <f t="shared" si="21"/>
        <v>2314217.7199999997</v>
      </c>
      <c r="K370" s="13"/>
      <c r="L370" s="13"/>
      <c r="M370" s="13"/>
      <c r="N370" s="50"/>
      <c r="O370" s="50"/>
      <c r="P370" s="50"/>
      <c r="Q370" t="s">
        <v>45</v>
      </c>
    </row>
    <row r="371" spans="1:17" hidden="1">
      <c r="A371" s="52" t="s">
        <v>67</v>
      </c>
      <c r="B371" s="49" t="s">
        <v>72</v>
      </c>
      <c r="C371" t="s">
        <v>459</v>
      </c>
      <c r="D371" t="s">
        <v>9</v>
      </c>
      <c r="E371" s="13"/>
      <c r="F371" s="13"/>
      <c r="G371" s="13"/>
      <c r="H371" s="13">
        <f t="shared" si="20"/>
        <v>0</v>
      </c>
      <c r="I371" s="13">
        <v>500000</v>
      </c>
      <c r="J371" s="13">
        <f t="shared" si="21"/>
        <v>500000</v>
      </c>
      <c r="K371" s="13"/>
      <c r="L371" s="13"/>
      <c r="M371" s="13"/>
      <c r="N371" s="50"/>
      <c r="O371" s="50"/>
      <c r="P371" s="50"/>
      <c r="Q371" t="s">
        <v>45</v>
      </c>
    </row>
    <row r="372" spans="1:17" hidden="1">
      <c r="A372" s="52" t="s">
        <v>67</v>
      </c>
      <c r="B372" s="49" t="s">
        <v>72</v>
      </c>
      <c r="C372" t="s">
        <v>460</v>
      </c>
      <c r="D372" t="s">
        <v>9</v>
      </c>
      <c r="E372" s="13"/>
      <c r="F372" s="13"/>
      <c r="G372" s="13"/>
      <c r="H372" s="13">
        <f t="shared" si="20"/>
        <v>0</v>
      </c>
      <c r="I372" s="13">
        <v>400000</v>
      </c>
      <c r="J372" s="13">
        <f t="shared" si="21"/>
        <v>400000</v>
      </c>
      <c r="K372" s="13"/>
      <c r="L372" s="13"/>
      <c r="M372" s="13"/>
      <c r="N372" s="50"/>
      <c r="O372" s="50"/>
      <c r="P372" s="50"/>
      <c r="Q372" t="s">
        <v>45</v>
      </c>
    </row>
    <row r="373" spans="1:17" hidden="1">
      <c r="A373" s="52" t="s">
        <v>67</v>
      </c>
      <c r="B373" s="49" t="s">
        <v>72</v>
      </c>
      <c r="C373" t="s">
        <v>461</v>
      </c>
      <c r="D373" t="s">
        <v>9</v>
      </c>
      <c r="E373" s="13"/>
      <c r="F373" s="13">
        <v>-32454.13</v>
      </c>
      <c r="G373" s="13"/>
      <c r="H373" s="13">
        <f t="shared" si="20"/>
        <v>-32454.13</v>
      </c>
      <c r="I373" s="13"/>
      <c r="J373" s="13">
        <f t="shared" si="21"/>
        <v>-32454.13</v>
      </c>
      <c r="K373" s="13"/>
      <c r="L373" s="13"/>
      <c r="M373" s="13"/>
      <c r="N373" s="50"/>
      <c r="O373" s="50"/>
      <c r="P373" s="50"/>
      <c r="Q373" t="s">
        <v>45</v>
      </c>
    </row>
    <row r="374" spans="1:17" hidden="1">
      <c r="A374" s="52" t="s">
        <v>67</v>
      </c>
      <c r="B374" s="49" t="s">
        <v>72</v>
      </c>
      <c r="C374" t="s">
        <v>462</v>
      </c>
      <c r="D374" t="s">
        <v>9</v>
      </c>
      <c r="E374" s="13"/>
      <c r="F374" s="13"/>
      <c r="G374" s="13"/>
      <c r="H374" s="13">
        <f t="shared" si="20"/>
        <v>0</v>
      </c>
      <c r="I374" s="13">
        <v>300000</v>
      </c>
      <c r="J374" s="13">
        <f t="shared" si="21"/>
        <v>300000</v>
      </c>
      <c r="K374" s="13"/>
      <c r="L374" s="13"/>
      <c r="M374" s="13"/>
      <c r="N374" s="50"/>
      <c r="O374" s="50"/>
      <c r="P374" s="50"/>
      <c r="Q374" t="s">
        <v>45</v>
      </c>
    </row>
    <row r="375" spans="1:17" hidden="1">
      <c r="A375" s="52" t="s">
        <v>67</v>
      </c>
      <c r="B375" s="49" t="s">
        <v>72</v>
      </c>
      <c r="C375" t="s">
        <v>463</v>
      </c>
      <c r="D375" t="s">
        <v>9</v>
      </c>
      <c r="E375" s="13">
        <v>62156.429999999993</v>
      </c>
      <c r="F375" s="13">
        <v>22000.189999999995</v>
      </c>
      <c r="G375" s="13">
        <v>100000</v>
      </c>
      <c r="H375" s="13">
        <f t="shared" si="20"/>
        <v>184156.62</v>
      </c>
      <c r="I375" s="13">
        <v>100000</v>
      </c>
      <c r="J375" s="13">
        <f t="shared" si="21"/>
        <v>284156.62</v>
      </c>
      <c r="K375" s="13"/>
      <c r="L375" s="13"/>
      <c r="M375" s="13"/>
      <c r="N375" s="50"/>
      <c r="O375" s="50"/>
      <c r="P375" s="50"/>
      <c r="Q375" t="s">
        <v>21</v>
      </c>
    </row>
    <row r="376" spans="1:17" hidden="1">
      <c r="A376" s="52" t="s">
        <v>67</v>
      </c>
      <c r="B376" s="49" t="s">
        <v>72</v>
      </c>
      <c r="C376" t="s">
        <v>464</v>
      </c>
      <c r="D376" t="s">
        <v>9</v>
      </c>
      <c r="E376" s="13"/>
      <c r="F376" s="13">
        <v>349994.41</v>
      </c>
      <c r="G376" s="13">
        <v>1030197</v>
      </c>
      <c r="H376" s="13">
        <f t="shared" si="20"/>
        <v>1380191.41</v>
      </c>
      <c r="I376" s="13"/>
      <c r="J376" s="13">
        <f t="shared" si="21"/>
        <v>1380191.41</v>
      </c>
      <c r="K376" s="13"/>
      <c r="L376" s="13"/>
      <c r="M376" s="13"/>
      <c r="N376" s="50"/>
      <c r="O376" s="50"/>
      <c r="P376" s="50"/>
      <c r="Q376" t="s">
        <v>46</v>
      </c>
    </row>
    <row r="377" spans="1:17" hidden="1">
      <c r="A377" s="52" t="s">
        <v>67</v>
      </c>
      <c r="B377" s="49" t="s">
        <v>72</v>
      </c>
      <c r="C377" t="s">
        <v>465</v>
      </c>
      <c r="D377" t="s">
        <v>9</v>
      </c>
      <c r="E377" s="13">
        <v>114034.96000000002</v>
      </c>
      <c r="F377" s="13"/>
      <c r="G377" s="13"/>
      <c r="H377" s="13">
        <f t="shared" si="20"/>
        <v>114034.96000000002</v>
      </c>
      <c r="I377" s="13"/>
      <c r="J377" s="13">
        <f t="shared" si="21"/>
        <v>114034.96000000002</v>
      </c>
      <c r="K377" s="13"/>
      <c r="L377" s="13"/>
      <c r="M377" s="13"/>
      <c r="N377" s="50"/>
      <c r="O377" s="50"/>
      <c r="P377" s="50"/>
      <c r="Q377" t="s">
        <v>42</v>
      </c>
    </row>
    <row r="378" spans="1:17" hidden="1">
      <c r="A378" s="52" t="s">
        <v>67</v>
      </c>
      <c r="B378" s="49" t="s">
        <v>72</v>
      </c>
      <c r="C378" t="s">
        <v>466</v>
      </c>
      <c r="D378" t="s">
        <v>9</v>
      </c>
      <c r="E378" s="13"/>
      <c r="F378" s="13"/>
      <c r="G378" s="13">
        <v>250000.00000000003</v>
      </c>
      <c r="H378" s="13">
        <f t="shared" si="20"/>
        <v>250000.00000000003</v>
      </c>
      <c r="I378" s="13"/>
      <c r="J378" s="13">
        <f t="shared" si="21"/>
        <v>250000.00000000003</v>
      </c>
      <c r="K378" s="13"/>
      <c r="L378" s="13"/>
      <c r="M378" s="13"/>
      <c r="N378" s="50"/>
      <c r="O378" s="50"/>
      <c r="P378" s="50"/>
      <c r="Q378" t="s">
        <v>42</v>
      </c>
    </row>
    <row r="379" spans="1:17" hidden="1">
      <c r="A379" s="52" t="s">
        <v>67</v>
      </c>
      <c r="B379" s="49" t="s">
        <v>72</v>
      </c>
      <c r="C379" t="s">
        <v>467</v>
      </c>
      <c r="D379" t="s">
        <v>9</v>
      </c>
      <c r="E379" s="13"/>
      <c r="F379" s="13"/>
      <c r="G379" s="13"/>
      <c r="H379" s="13">
        <f t="shared" si="20"/>
        <v>0</v>
      </c>
      <c r="I379" s="13">
        <v>500000.16</v>
      </c>
      <c r="J379" s="13">
        <f t="shared" si="21"/>
        <v>500000.16</v>
      </c>
      <c r="K379" s="13"/>
      <c r="L379" s="13"/>
      <c r="M379" s="13"/>
      <c r="N379" s="50"/>
      <c r="O379" s="50"/>
      <c r="P379" s="50"/>
      <c r="Q379" t="s">
        <v>42</v>
      </c>
    </row>
    <row r="380" spans="1:17" hidden="1">
      <c r="A380" s="52" t="s">
        <v>67</v>
      </c>
      <c r="B380" s="49" t="s">
        <v>72</v>
      </c>
      <c r="C380" t="s">
        <v>468</v>
      </c>
      <c r="D380" t="s">
        <v>9</v>
      </c>
      <c r="E380" s="13">
        <v>453093.04</v>
      </c>
      <c r="F380" s="13">
        <v>0</v>
      </c>
      <c r="G380" s="13"/>
      <c r="H380" s="13">
        <f t="shared" si="20"/>
        <v>453093.04</v>
      </c>
      <c r="I380" s="13"/>
      <c r="J380" s="13">
        <f t="shared" si="21"/>
        <v>453093.04</v>
      </c>
      <c r="K380" s="13"/>
      <c r="L380" s="13"/>
      <c r="M380" s="13"/>
      <c r="N380" s="50"/>
      <c r="O380" s="50"/>
      <c r="P380" s="50"/>
      <c r="Q380" t="s">
        <v>46</v>
      </c>
    </row>
    <row r="381" spans="1:17" hidden="1">
      <c r="A381" s="52" t="s">
        <v>67</v>
      </c>
      <c r="B381" s="49" t="s">
        <v>72</v>
      </c>
      <c r="C381" t="s">
        <v>469</v>
      </c>
      <c r="D381" t="s">
        <v>9</v>
      </c>
      <c r="E381" s="13">
        <v>-130065.93999999987</v>
      </c>
      <c r="F381" s="13">
        <v>-624787.5</v>
      </c>
      <c r="G381" s="13"/>
      <c r="H381" s="13">
        <f t="shared" si="20"/>
        <v>-754853.43999999983</v>
      </c>
      <c r="I381" s="13"/>
      <c r="J381" s="13">
        <f t="shared" si="21"/>
        <v>-754853.43999999983</v>
      </c>
      <c r="K381" s="13"/>
      <c r="L381" s="13"/>
      <c r="M381" s="13"/>
      <c r="N381" s="50"/>
      <c r="O381" s="50"/>
      <c r="P381" s="50"/>
      <c r="Q381" t="s">
        <v>46</v>
      </c>
    </row>
    <row r="382" spans="1:17" hidden="1">
      <c r="A382" s="52" t="s">
        <v>67</v>
      </c>
      <c r="B382" s="49" t="s">
        <v>72</v>
      </c>
      <c r="C382" t="s">
        <v>470</v>
      </c>
      <c r="D382" t="s">
        <v>9</v>
      </c>
      <c r="E382" s="13">
        <v>82480.48000000001</v>
      </c>
      <c r="F382" s="13">
        <v>29331.05</v>
      </c>
      <c r="G382" s="13"/>
      <c r="H382" s="13">
        <f t="shared" si="20"/>
        <v>111811.53000000001</v>
      </c>
      <c r="I382" s="13">
        <v>150000</v>
      </c>
      <c r="J382" s="13">
        <f t="shared" si="21"/>
        <v>261811.53000000003</v>
      </c>
      <c r="K382" s="13"/>
      <c r="L382" s="13"/>
      <c r="M382" s="13"/>
      <c r="N382" s="50"/>
      <c r="O382" s="50"/>
      <c r="P382" s="50"/>
      <c r="Q382" t="s">
        <v>46</v>
      </c>
    </row>
    <row r="383" spans="1:17" hidden="1">
      <c r="A383" s="52" t="s">
        <v>67</v>
      </c>
      <c r="B383" s="49" t="s">
        <v>72</v>
      </c>
      <c r="C383" t="s">
        <v>471</v>
      </c>
      <c r="D383" t="s">
        <v>9</v>
      </c>
      <c r="E383" s="13"/>
      <c r="F383" s="13">
        <v>78587.470000000016</v>
      </c>
      <c r="G383" s="13">
        <v>399999.96</v>
      </c>
      <c r="H383" s="13">
        <f t="shared" si="20"/>
        <v>478587.43000000005</v>
      </c>
      <c r="I383" s="13">
        <v>671413.08000000007</v>
      </c>
      <c r="J383" s="13">
        <f t="shared" si="21"/>
        <v>1150000.5100000002</v>
      </c>
      <c r="K383" s="13"/>
      <c r="L383" s="13"/>
      <c r="M383" s="13"/>
      <c r="N383" s="50"/>
      <c r="O383" s="50"/>
      <c r="P383" s="50"/>
      <c r="Q383" t="s">
        <v>46</v>
      </c>
    </row>
    <row r="384" spans="1:17" hidden="1">
      <c r="A384" s="52" t="s">
        <v>67</v>
      </c>
      <c r="B384" s="49" t="s">
        <v>72</v>
      </c>
      <c r="C384" t="s">
        <v>472</v>
      </c>
      <c r="D384" t="s">
        <v>9</v>
      </c>
      <c r="E384" s="13"/>
      <c r="F384" s="13"/>
      <c r="G384" s="13"/>
      <c r="H384" s="13">
        <f t="shared" si="20"/>
        <v>0</v>
      </c>
      <c r="I384" s="13">
        <v>400000</v>
      </c>
      <c r="J384" s="13">
        <f t="shared" si="21"/>
        <v>400000</v>
      </c>
      <c r="K384" s="13"/>
      <c r="L384" s="13"/>
      <c r="M384" s="13"/>
      <c r="N384" s="50"/>
      <c r="O384" s="50"/>
      <c r="P384" s="50"/>
      <c r="Q384" t="s">
        <v>45</v>
      </c>
    </row>
    <row r="385" spans="1:17" hidden="1">
      <c r="A385" s="52" t="s">
        <v>67</v>
      </c>
      <c r="B385" s="49" t="s">
        <v>72</v>
      </c>
      <c r="C385" t="s">
        <v>473</v>
      </c>
      <c r="D385" t="s">
        <v>9</v>
      </c>
      <c r="E385" s="13">
        <v>9909.98</v>
      </c>
      <c r="F385" s="13"/>
      <c r="G385" s="13"/>
      <c r="H385" s="13">
        <f t="shared" si="20"/>
        <v>9909.98</v>
      </c>
      <c r="I385" s="13"/>
      <c r="J385" s="13">
        <f t="shared" si="21"/>
        <v>9909.98</v>
      </c>
      <c r="K385" s="13"/>
      <c r="L385" s="13"/>
      <c r="M385" s="13"/>
      <c r="N385" s="50"/>
      <c r="O385" s="50"/>
      <c r="P385" s="50"/>
      <c r="Q385" t="s">
        <v>46</v>
      </c>
    </row>
    <row r="386" spans="1:17" hidden="1">
      <c r="A386" s="52" t="s">
        <v>67</v>
      </c>
      <c r="B386" s="49" t="s">
        <v>72</v>
      </c>
      <c r="C386" t="s">
        <v>474</v>
      </c>
      <c r="D386" t="s">
        <v>9</v>
      </c>
      <c r="E386" s="13">
        <v>419186</v>
      </c>
      <c r="F386" s="13">
        <v>201496.82</v>
      </c>
      <c r="G386" s="13"/>
      <c r="H386" s="13">
        <f t="shared" ref="H386:H449" si="22">+SUM(E386:G386)</f>
        <v>620682.82000000007</v>
      </c>
      <c r="I386" s="13"/>
      <c r="J386" s="13">
        <f t="shared" ref="J386:J449" si="23">+I386+H386</f>
        <v>620682.82000000007</v>
      </c>
      <c r="K386" s="13"/>
      <c r="L386" s="13"/>
      <c r="M386" s="13"/>
      <c r="N386" s="50"/>
      <c r="O386" s="50"/>
      <c r="P386" s="50"/>
      <c r="Q386" t="s">
        <v>46</v>
      </c>
    </row>
    <row r="387" spans="1:17" hidden="1">
      <c r="A387" s="52" t="s">
        <v>67</v>
      </c>
      <c r="B387" s="49" t="s">
        <v>72</v>
      </c>
      <c r="C387" t="s">
        <v>475</v>
      </c>
      <c r="D387" t="s">
        <v>9</v>
      </c>
      <c r="E387" s="13"/>
      <c r="F387" s="13">
        <v>33873.919999999998</v>
      </c>
      <c r="G387" s="13"/>
      <c r="H387" s="13">
        <f t="shared" si="22"/>
        <v>33873.919999999998</v>
      </c>
      <c r="I387" s="13">
        <v>199999.99</v>
      </c>
      <c r="J387" s="13">
        <f t="shared" si="23"/>
        <v>233873.90999999997</v>
      </c>
      <c r="K387" s="13"/>
      <c r="L387" s="13"/>
      <c r="M387" s="13"/>
      <c r="N387" s="50"/>
      <c r="O387" s="50"/>
      <c r="P387" s="50"/>
      <c r="Q387" t="s">
        <v>46</v>
      </c>
    </row>
    <row r="388" spans="1:17" hidden="1">
      <c r="A388" s="52" t="s">
        <v>67</v>
      </c>
      <c r="B388" s="49" t="s">
        <v>72</v>
      </c>
      <c r="C388" t="s">
        <v>476</v>
      </c>
      <c r="D388" t="s">
        <v>9</v>
      </c>
      <c r="E388" s="13">
        <v>87808.19</v>
      </c>
      <c r="F388" s="13">
        <v>1875.26</v>
      </c>
      <c r="G388" s="13"/>
      <c r="H388" s="13">
        <f t="shared" si="22"/>
        <v>89683.45</v>
      </c>
      <c r="I388" s="13"/>
      <c r="J388" s="13">
        <f t="shared" si="23"/>
        <v>89683.45</v>
      </c>
      <c r="K388" s="13"/>
      <c r="L388" s="13"/>
      <c r="M388" s="13"/>
      <c r="N388" s="50"/>
      <c r="O388" s="50"/>
      <c r="P388" s="50"/>
      <c r="Q388" t="s">
        <v>42</v>
      </c>
    </row>
    <row r="389" spans="1:17" hidden="1">
      <c r="A389" s="52" t="s">
        <v>67</v>
      </c>
      <c r="B389" s="49" t="s">
        <v>72</v>
      </c>
      <c r="C389" t="s">
        <v>477</v>
      </c>
      <c r="D389" t="s">
        <v>9</v>
      </c>
      <c r="E389" s="13">
        <v>65956.89</v>
      </c>
      <c r="F389" s="13">
        <v>2757.38</v>
      </c>
      <c r="G389" s="13"/>
      <c r="H389" s="13">
        <f t="shared" si="22"/>
        <v>68714.27</v>
      </c>
      <c r="I389" s="13"/>
      <c r="J389" s="13">
        <f t="shared" si="23"/>
        <v>68714.27</v>
      </c>
      <c r="K389" s="13"/>
      <c r="L389" s="13"/>
      <c r="M389" s="13"/>
      <c r="N389" s="50"/>
      <c r="O389" s="50"/>
      <c r="P389" s="50"/>
      <c r="Q389" t="s">
        <v>42</v>
      </c>
    </row>
    <row r="390" spans="1:17" hidden="1">
      <c r="A390" s="52" t="s">
        <v>67</v>
      </c>
      <c r="B390" s="49" t="s">
        <v>72</v>
      </c>
      <c r="C390" t="s">
        <v>478</v>
      </c>
      <c r="D390" t="s">
        <v>9</v>
      </c>
      <c r="E390" s="13"/>
      <c r="F390" s="13">
        <v>377832.90000000008</v>
      </c>
      <c r="G390" s="13"/>
      <c r="H390" s="13">
        <f t="shared" si="22"/>
        <v>377832.90000000008</v>
      </c>
      <c r="I390" s="13"/>
      <c r="J390" s="13">
        <f t="shared" si="23"/>
        <v>377832.90000000008</v>
      </c>
      <c r="K390" s="13"/>
      <c r="L390" s="13"/>
      <c r="M390" s="13"/>
      <c r="N390" s="50"/>
      <c r="O390" s="50"/>
      <c r="P390" s="50"/>
      <c r="Q390" t="s">
        <v>42</v>
      </c>
    </row>
    <row r="391" spans="1:17" hidden="1">
      <c r="A391" s="52" t="s">
        <v>67</v>
      </c>
      <c r="B391" s="49" t="s">
        <v>72</v>
      </c>
      <c r="C391" t="s">
        <v>479</v>
      </c>
      <c r="D391" t="s">
        <v>9</v>
      </c>
      <c r="E391" s="13"/>
      <c r="F391" s="13"/>
      <c r="G391" s="13">
        <v>250000.00000000003</v>
      </c>
      <c r="H391" s="13">
        <f t="shared" si="22"/>
        <v>250000.00000000003</v>
      </c>
      <c r="I391" s="13"/>
      <c r="J391" s="13">
        <f t="shared" si="23"/>
        <v>250000.00000000003</v>
      </c>
      <c r="K391" s="13"/>
      <c r="L391" s="13"/>
      <c r="M391" s="13"/>
      <c r="N391" s="50"/>
      <c r="O391" s="50"/>
      <c r="P391" s="50"/>
      <c r="Q391" t="s">
        <v>42</v>
      </c>
    </row>
    <row r="392" spans="1:17" hidden="1">
      <c r="A392" s="52" t="s">
        <v>67</v>
      </c>
      <c r="B392" s="49" t="s">
        <v>72</v>
      </c>
      <c r="C392" t="s">
        <v>480</v>
      </c>
      <c r="D392" t="s">
        <v>9</v>
      </c>
      <c r="E392" s="13"/>
      <c r="F392" s="13"/>
      <c r="G392" s="13"/>
      <c r="H392" s="13">
        <f t="shared" si="22"/>
        <v>0</v>
      </c>
      <c r="I392" s="13">
        <v>500000.16</v>
      </c>
      <c r="J392" s="13">
        <f t="shared" si="23"/>
        <v>500000.16</v>
      </c>
      <c r="K392" s="13"/>
      <c r="L392" s="13"/>
      <c r="M392" s="13"/>
      <c r="N392" s="50"/>
      <c r="O392" s="50"/>
      <c r="P392" s="50"/>
      <c r="Q392" t="s">
        <v>42</v>
      </c>
    </row>
    <row r="393" spans="1:17" hidden="1">
      <c r="A393" s="52" t="s">
        <v>67</v>
      </c>
      <c r="B393" s="49" t="s">
        <v>72</v>
      </c>
      <c r="C393" t="s">
        <v>481</v>
      </c>
      <c r="D393" t="s">
        <v>9</v>
      </c>
      <c r="E393" s="13"/>
      <c r="F393" s="13">
        <v>137157.57</v>
      </c>
      <c r="G393" s="13"/>
      <c r="H393" s="13">
        <f t="shared" si="22"/>
        <v>137157.57</v>
      </c>
      <c r="I393" s="13"/>
      <c r="J393" s="13">
        <f t="shared" si="23"/>
        <v>137157.57</v>
      </c>
      <c r="K393" s="13"/>
      <c r="L393" s="13"/>
      <c r="M393" s="13"/>
      <c r="N393" s="50"/>
      <c r="O393" s="50"/>
      <c r="P393" s="50"/>
      <c r="Q393" t="s">
        <v>46</v>
      </c>
    </row>
    <row r="394" spans="1:17" hidden="1">
      <c r="A394" s="52" t="s">
        <v>67</v>
      </c>
      <c r="B394" s="49" t="s">
        <v>72</v>
      </c>
      <c r="C394" t="s">
        <v>482</v>
      </c>
      <c r="D394" t="s">
        <v>9</v>
      </c>
      <c r="E394" s="13">
        <v>-15133.22</v>
      </c>
      <c r="F394" s="13"/>
      <c r="G394" s="13"/>
      <c r="H394" s="13">
        <f t="shared" si="22"/>
        <v>-15133.22</v>
      </c>
      <c r="I394" s="13"/>
      <c r="J394" s="13">
        <f t="shared" si="23"/>
        <v>-15133.22</v>
      </c>
      <c r="K394" s="13"/>
      <c r="L394" s="13"/>
      <c r="M394" s="13"/>
      <c r="N394" s="50"/>
      <c r="O394" s="50"/>
      <c r="P394" s="50"/>
      <c r="Q394" t="s">
        <v>46</v>
      </c>
    </row>
    <row r="395" spans="1:17" hidden="1">
      <c r="A395" s="52" t="s">
        <v>67</v>
      </c>
      <c r="B395" s="49" t="s">
        <v>72</v>
      </c>
      <c r="C395" t="s">
        <v>483</v>
      </c>
      <c r="D395" t="s">
        <v>9</v>
      </c>
      <c r="E395" s="13"/>
      <c r="F395" s="13">
        <v>138233.32</v>
      </c>
      <c r="G395" s="13"/>
      <c r="H395" s="13">
        <f t="shared" si="22"/>
        <v>138233.32</v>
      </c>
      <c r="I395" s="13"/>
      <c r="J395" s="13">
        <f t="shared" si="23"/>
        <v>138233.32</v>
      </c>
      <c r="K395" s="13"/>
      <c r="L395" s="13"/>
      <c r="M395" s="13"/>
      <c r="N395" s="50"/>
      <c r="O395" s="50"/>
      <c r="P395" s="50"/>
      <c r="Q395" t="s">
        <v>46</v>
      </c>
    </row>
    <row r="396" spans="1:17" hidden="1">
      <c r="A396" s="52" t="s">
        <v>67</v>
      </c>
      <c r="B396" s="49" t="s">
        <v>72</v>
      </c>
      <c r="C396" t="s">
        <v>484</v>
      </c>
      <c r="D396" t="s">
        <v>9</v>
      </c>
      <c r="E396" s="13"/>
      <c r="F396" s="13">
        <v>138771.19999999998</v>
      </c>
      <c r="G396" s="13"/>
      <c r="H396" s="13">
        <f t="shared" si="22"/>
        <v>138771.19999999998</v>
      </c>
      <c r="I396" s="13"/>
      <c r="J396" s="13">
        <f t="shared" si="23"/>
        <v>138771.19999999998</v>
      </c>
      <c r="K396" s="13"/>
      <c r="L396" s="13"/>
      <c r="M396" s="13"/>
      <c r="N396" s="50"/>
      <c r="O396" s="50"/>
      <c r="P396" s="50"/>
      <c r="Q396" t="s">
        <v>46</v>
      </c>
    </row>
    <row r="397" spans="1:17" hidden="1">
      <c r="A397" s="52" t="s">
        <v>67</v>
      </c>
      <c r="B397" s="49" t="s">
        <v>72</v>
      </c>
      <c r="C397" t="s">
        <v>485</v>
      </c>
      <c r="D397" t="s">
        <v>9</v>
      </c>
      <c r="E397" s="13">
        <v>-24723.99</v>
      </c>
      <c r="F397" s="13"/>
      <c r="G397" s="13"/>
      <c r="H397" s="13">
        <f t="shared" si="22"/>
        <v>-24723.99</v>
      </c>
      <c r="I397" s="13"/>
      <c r="J397" s="13">
        <f t="shared" si="23"/>
        <v>-24723.99</v>
      </c>
      <c r="K397" s="13"/>
      <c r="L397" s="13"/>
      <c r="M397" s="13"/>
      <c r="N397" s="50"/>
      <c r="O397" s="50"/>
      <c r="P397" s="50"/>
      <c r="Q397" t="s">
        <v>46</v>
      </c>
    </row>
    <row r="398" spans="1:17" hidden="1">
      <c r="A398" s="52" t="s">
        <v>67</v>
      </c>
      <c r="B398" s="49" t="s">
        <v>72</v>
      </c>
      <c r="C398" t="s">
        <v>486</v>
      </c>
      <c r="D398" t="s">
        <v>9</v>
      </c>
      <c r="E398" s="13"/>
      <c r="F398" s="13"/>
      <c r="G398" s="13"/>
      <c r="H398" s="13">
        <f t="shared" si="22"/>
        <v>0</v>
      </c>
      <c r="I398" s="13">
        <v>2000000</v>
      </c>
      <c r="J398" s="13">
        <f t="shared" si="23"/>
        <v>2000000</v>
      </c>
      <c r="K398" s="13"/>
      <c r="L398" s="13"/>
      <c r="M398" s="13"/>
      <c r="N398" s="50"/>
      <c r="O398" s="50"/>
      <c r="P398" s="50"/>
      <c r="Q398" t="s">
        <v>46</v>
      </c>
    </row>
    <row r="399" spans="1:17" hidden="1">
      <c r="A399" s="52" t="s">
        <v>67</v>
      </c>
      <c r="B399" s="49" t="s">
        <v>72</v>
      </c>
      <c r="C399" t="s">
        <v>487</v>
      </c>
      <c r="D399" t="s">
        <v>9</v>
      </c>
      <c r="E399" s="13">
        <v>16289.27</v>
      </c>
      <c r="F399" s="13"/>
      <c r="G399" s="13"/>
      <c r="H399" s="13">
        <f t="shared" si="22"/>
        <v>16289.27</v>
      </c>
      <c r="I399" s="13"/>
      <c r="J399" s="13">
        <f t="shared" si="23"/>
        <v>16289.27</v>
      </c>
      <c r="K399" s="13"/>
      <c r="L399" s="13"/>
      <c r="M399" s="13"/>
      <c r="N399" s="50"/>
      <c r="O399" s="50"/>
      <c r="P399" s="50"/>
      <c r="Q399" t="s">
        <v>46</v>
      </c>
    </row>
    <row r="400" spans="1:17" hidden="1">
      <c r="A400" s="52" t="s">
        <v>67</v>
      </c>
      <c r="B400" s="49" t="s">
        <v>72</v>
      </c>
      <c r="C400" t="s">
        <v>488</v>
      </c>
      <c r="D400" t="s">
        <v>9</v>
      </c>
      <c r="E400" s="13">
        <v>0</v>
      </c>
      <c r="F400" s="13"/>
      <c r="G400" s="13"/>
      <c r="H400" s="13">
        <f t="shared" si="22"/>
        <v>0</v>
      </c>
      <c r="I400" s="13"/>
      <c r="J400" s="13">
        <f t="shared" si="23"/>
        <v>0</v>
      </c>
      <c r="K400" s="13"/>
      <c r="L400" s="13"/>
      <c r="M400" s="13"/>
      <c r="N400" s="50"/>
      <c r="O400" s="50"/>
      <c r="P400" s="50"/>
      <c r="Q400" t="s">
        <v>45</v>
      </c>
    </row>
    <row r="401" spans="1:17" hidden="1">
      <c r="A401" s="52" t="s">
        <v>67</v>
      </c>
      <c r="B401" s="49" t="s">
        <v>72</v>
      </c>
      <c r="C401" t="s">
        <v>489</v>
      </c>
      <c r="D401" t="s">
        <v>9</v>
      </c>
      <c r="E401" s="13"/>
      <c r="F401" s="13"/>
      <c r="G401" s="13">
        <v>2500000</v>
      </c>
      <c r="H401" s="13">
        <f t="shared" si="22"/>
        <v>2500000</v>
      </c>
      <c r="I401" s="13">
        <v>4600000</v>
      </c>
      <c r="J401" s="13">
        <f t="shared" si="23"/>
        <v>7100000</v>
      </c>
      <c r="K401" s="13"/>
      <c r="L401" s="13"/>
      <c r="M401" s="13"/>
      <c r="N401" s="50"/>
      <c r="O401" s="50"/>
      <c r="P401" s="50"/>
      <c r="Q401" t="s">
        <v>45</v>
      </c>
    </row>
    <row r="402" spans="1:17" hidden="1">
      <c r="A402" s="52" t="s">
        <v>67</v>
      </c>
      <c r="B402" s="49" t="s">
        <v>72</v>
      </c>
      <c r="C402" t="s">
        <v>490</v>
      </c>
      <c r="D402" t="s">
        <v>9</v>
      </c>
      <c r="E402" s="13"/>
      <c r="F402" s="13">
        <v>-2915.61</v>
      </c>
      <c r="G402" s="13"/>
      <c r="H402" s="13">
        <f t="shared" si="22"/>
        <v>-2915.61</v>
      </c>
      <c r="I402" s="13"/>
      <c r="J402" s="13">
        <f t="shared" si="23"/>
        <v>-2915.61</v>
      </c>
      <c r="K402" s="13"/>
      <c r="L402" s="13"/>
      <c r="M402" s="13"/>
      <c r="N402" s="50"/>
      <c r="O402" s="50"/>
      <c r="P402" s="50"/>
      <c r="Q402" t="s">
        <v>42</v>
      </c>
    </row>
    <row r="403" spans="1:17" hidden="1">
      <c r="A403" s="52" t="s">
        <v>67</v>
      </c>
      <c r="B403" s="49" t="s">
        <v>72</v>
      </c>
      <c r="C403" t="s">
        <v>491</v>
      </c>
      <c r="D403" t="s">
        <v>9</v>
      </c>
      <c r="E403" s="13">
        <v>285100.13</v>
      </c>
      <c r="F403" s="13">
        <v>160215.87000000002</v>
      </c>
      <c r="G403" s="13"/>
      <c r="H403" s="13">
        <f t="shared" si="22"/>
        <v>445316</v>
      </c>
      <c r="I403" s="13"/>
      <c r="J403" s="13">
        <f t="shared" si="23"/>
        <v>445316</v>
      </c>
      <c r="K403" s="13"/>
      <c r="L403" s="13"/>
      <c r="M403" s="13"/>
      <c r="N403" s="50"/>
      <c r="O403" s="50"/>
      <c r="P403" s="50"/>
      <c r="Q403" t="s">
        <v>42</v>
      </c>
    </row>
    <row r="404" spans="1:17" hidden="1">
      <c r="A404" s="52" t="s">
        <v>67</v>
      </c>
      <c r="B404" s="49" t="s">
        <v>72</v>
      </c>
      <c r="C404" t="s">
        <v>492</v>
      </c>
      <c r="D404" t="s">
        <v>9</v>
      </c>
      <c r="E404" s="13"/>
      <c r="F404" s="13">
        <v>178781.44</v>
      </c>
      <c r="G404" s="13"/>
      <c r="H404" s="13">
        <f t="shared" si="22"/>
        <v>178781.44</v>
      </c>
      <c r="I404" s="13"/>
      <c r="J404" s="13">
        <f t="shared" si="23"/>
        <v>178781.44</v>
      </c>
      <c r="K404" s="13"/>
      <c r="L404" s="13"/>
      <c r="M404" s="13"/>
      <c r="N404" s="50"/>
      <c r="O404" s="50"/>
      <c r="P404" s="50"/>
      <c r="Q404" t="s">
        <v>42</v>
      </c>
    </row>
    <row r="405" spans="1:17" hidden="1">
      <c r="A405" s="52" t="s">
        <v>67</v>
      </c>
      <c r="B405" s="49" t="s">
        <v>72</v>
      </c>
      <c r="C405" t="s">
        <v>493</v>
      </c>
      <c r="D405" t="s">
        <v>9</v>
      </c>
      <c r="E405" s="13"/>
      <c r="F405" s="13"/>
      <c r="G405" s="13">
        <v>750000</v>
      </c>
      <c r="H405" s="13">
        <f t="shared" si="22"/>
        <v>750000</v>
      </c>
      <c r="I405" s="13"/>
      <c r="J405" s="13">
        <f t="shared" si="23"/>
        <v>750000</v>
      </c>
      <c r="K405" s="13"/>
      <c r="L405" s="13"/>
      <c r="M405" s="13"/>
      <c r="N405" s="50"/>
      <c r="O405" s="50"/>
      <c r="P405" s="50"/>
      <c r="Q405" t="s">
        <v>42</v>
      </c>
    </row>
    <row r="406" spans="1:17" hidden="1">
      <c r="A406" s="52" t="s">
        <v>67</v>
      </c>
      <c r="B406" s="49" t="s">
        <v>72</v>
      </c>
      <c r="C406" t="s">
        <v>494</v>
      </c>
      <c r="D406" t="s">
        <v>9</v>
      </c>
      <c r="E406" s="13"/>
      <c r="F406" s="13"/>
      <c r="G406" s="13"/>
      <c r="H406" s="13">
        <f t="shared" si="22"/>
        <v>0</v>
      </c>
      <c r="I406" s="13">
        <v>500000.16</v>
      </c>
      <c r="J406" s="13">
        <f t="shared" si="23"/>
        <v>500000.16</v>
      </c>
      <c r="K406" s="13"/>
      <c r="L406" s="13"/>
      <c r="M406" s="13"/>
      <c r="N406" s="50"/>
      <c r="O406" s="50"/>
      <c r="P406" s="50"/>
      <c r="Q406" t="s">
        <v>42</v>
      </c>
    </row>
    <row r="407" spans="1:17" hidden="1">
      <c r="A407" s="52" t="s">
        <v>67</v>
      </c>
      <c r="B407" s="49" t="s">
        <v>72</v>
      </c>
      <c r="C407" t="s">
        <v>495</v>
      </c>
      <c r="D407" t="s">
        <v>9</v>
      </c>
      <c r="E407" s="13">
        <v>37408.35</v>
      </c>
      <c r="F407" s="13">
        <v>475.62</v>
      </c>
      <c r="G407" s="13"/>
      <c r="H407" s="13">
        <f t="shared" si="22"/>
        <v>37883.97</v>
      </c>
      <c r="I407" s="13"/>
      <c r="J407" s="13">
        <f t="shared" si="23"/>
        <v>37883.97</v>
      </c>
      <c r="K407" s="13"/>
      <c r="L407" s="13"/>
      <c r="M407" s="13"/>
      <c r="N407" s="50"/>
      <c r="O407" s="50"/>
      <c r="P407" s="50"/>
      <c r="Q407" t="s">
        <v>46</v>
      </c>
    </row>
    <row r="408" spans="1:17" hidden="1">
      <c r="A408" s="52" t="s">
        <v>67</v>
      </c>
      <c r="B408" s="49" t="s">
        <v>72</v>
      </c>
      <c r="C408" t="s">
        <v>496</v>
      </c>
      <c r="D408" t="s">
        <v>9</v>
      </c>
      <c r="E408" s="13">
        <v>111831.30999999995</v>
      </c>
      <c r="F408" s="13">
        <v>7311.91</v>
      </c>
      <c r="G408" s="13"/>
      <c r="H408" s="13">
        <f t="shared" si="22"/>
        <v>119143.21999999996</v>
      </c>
      <c r="I408" s="13"/>
      <c r="J408" s="13">
        <f t="shared" si="23"/>
        <v>119143.21999999996</v>
      </c>
      <c r="K408" s="13"/>
      <c r="L408" s="13"/>
      <c r="M408" s="13"/>
      <c r="N408" s="50"/>
      <c r="O408" s="50"/>
      <c r="P408" s="50"/>
      <c r="Q408" t="s">
        <v>46</v>
      </c>
    </row>
    <row r="409" spans="1:17" hidden="1">
      <c r="A409" s="52" t="s">
        <v>67</v>
      </c>
      <c r="B409" s="49" t="s">
        <v>72</v>
      </c>
      <c r="C409" t="s">
        <v>497</v>
      </c>
      <c r="D409" t="s">
        <v>9</v>
      </c>
      <c r="E409" s="13">
        <v>500945.09000000014</v>
      </c>
      <c r="F409" s="13"/>
      <c r="G409" s="13"/>
      <c r="H409" s="13">
        <f t="shared" si="22"/>
        <v>500945.09000000014</v>
      </c>
      <c r="I409" s="13"/>
      <c r="J409" s="13">
        <f t="shared" si="23"/>
        <v>500945.09000000014</v>
      </c>
      <c r="K409" s="13"/>
      <c r="L409" s="13"/>
      <c r="M409" s="13"/>
      <c r="N409" s="50"/>
      <c r="O409" s="50"/>
      <c r="P409" s="50"/>
      <c r="Q409" t="s">
        <v>46</v>
      </c>
    </row>
    <row r="410" spans="1:17" hidden="1">
      <c r="A410" s="52" t="s">
        <v>67</v>
      </c>
      <c r="B410" s="49" t="s">
        <v>72</v>
      </c>
      <c r="C410" t="s">
        <v>498</v>
      </c>
      <c r="D410" t="s">
        <v>9</v>
      </c>
      <c r="E410" s="13"/>
      <c r="F410" s="13"/>
      <c r="G410" s="13"/>
      <c r="H410" s="13">
        <f t="shared" si="22"/>
        <v>0</v>
      </c>
      <c r="I410" s="13">
        <v>10713631</v>
      </c>
      <c r="J410" s="13">
        <f t="shared" si="23"/>
        <v>10713631</v>
      </c>
      <c r="K410" s="13"/>
      <c r="L410" s="13"/>
      <c r="M410" s="13"/>
      <c r="N410" s="50"/>
      <c r="O410" s="50"/>
      <c r="P410" s="50"/>
      <c r="Q410" t="s">
        <v>46</v>
      </c>
    </row>
    <row r="411" spans="1:17" hidden="1">
      <c r="A411" s="52" t="s">
        <v>67</v>
      </c>
      <c r="B411" s="49" t="s">
        <v>72</v>
      </c>
      <c r="C411" t="s">
        <v>499</v>
      </c>
      <c r="D411" t="s">
        <v>9</v>
      </c>
      <c r="E411" s="13"/>
      <c r="F411" s="13">
        <v>1921.21</v>
      </c>
      <c r="G411" s="13"/>
      <c r="H411" s="13">
        <f t="shared" si="22"/>
        <v>1921.21</v>
      </c>
      <c r="I411" s="13"/>
      <c r="J411" s="13">
        <f t="shared" si="23"/>
        <v>1921.21</v>
      </c>
      <c r="K411" s="13"/>
      <c r="L411" s="13"/>
      <c r="M411" s="13"/>
      <c r="N411" s="50"/>
      <c r="O411" s="50"/>
      <c r="P411" s="50"/>
      <c r="Q411" t="s">
        <v>46</v>
      </c>
    </row>
    <row r="412" spans="1:17" hidden="1">
      <c r="A412" s="52" t="s">
        <v>67</v>
      </c>
      <c r="B412" s="49" t="s">
        <v>72</v>
      </c>
      <c r="C412" t="s">
        <v>500</v>
      </c>
      <c r="D412" t="s">
        <v>9</v>
      </c>
      <c r="E412" s="13">
        <v>51856.61</v>
      </c>
      <c r="F412" s="13"/>
      <c r="G412" s="13"/>
      <c r="H412" s="13">
        <f t="shared" si="22"/>
        <v>51856.61</v>
      </c>
      <c r="I412" s="13"/>
      <c r="J412" s="13">
        <f t="shared" si="23"/>
        <v>51856.61</v>
      </c>
      <c r="K412" s="13"/>
      <c r="L412" s="13"/>
      <c r="M412" s="13"/>
      <c r="N412" s="50"/>
      <c r="O412" s="50"/>
      <c r="P412" s="50"/>
      <c r="Q412" t="s">
        <v>46</v>
      </c>
    </row>
    <row r="413" spans="1:17" hidden="1">
      <c r="A413" s="52" t="s">
        <v>67</v>
      </c>
      <c r="B413" s="49" t="s">
        <v>72</v>
      </c>
      <c r="C413" t="s">
        <v>501</v>
      </c>
      <c r="D413" t="s">
        <v>9</v>
      </c>
      <c r="E413" s="13">
        <v>-1997.88</v>
      </c>
      <c r="F413" s="13"/>
      <c r="G413" s="13"/>
      <c r="H413" s="13">
        <f t="shared" si="22"/>
        <v>-1997.88</v>
      </c>
      <c r="I413" s="13"/>
      <c r="J413" s="13">
        <f t="shared" si="23"/>
        <v>-1997.88</v>
      </c>
      <c r="K413" s="13"/>
      <c r="L413" s="13"/>
      <c r="M413" s="13"/>
      <c r="N413" s="50"/>
      <c r="O413" s="50"/>
      <c r="P413" s="50"/>
      <c r="Q413" t="s">
        <v>46</v>
      </c>
    </row>
    <row r="414" spans="1:17" hidden="1">
      <c r="A414" s="52" t="s">
        <v>67</v>
      </c>
      <c r="B414" s="49" t="s">
        <v>72</v>
      </c>
      <c r="C414" t="s">
        <v>502</v>
      </c>
      <c r="D414" t="s">
        <v>9</v>
      </c>
      <c r="E414" s="13">
        <v>-3038.41</v>
      </c>
      <c r="F414" s="13"/>
      <c r="G414" s="13"/>
      <c r="H414" s="13">
        <f t="shared" si="22"/>
        <v>-3038.41</v>
      </c>
      <c r="I414" s="13"/>
      <c r="J414" s="13">
        <f t="shared" si="23"/>
        <v>-3038.41</v>
      </c>
      <c r="K414" s="13"/>
      <c r="L414" s="13"/>
      <c r="M414" s="13"/>
      <c r="N414" s="50"/>
      <c r="O414" s="50"/>
      <c r="P414" s="50"/>
      <c r="Q414" t="s">
        <v>46</v>
      </c>
    </row>
    <row r="415" spans="1:17" hidden="1">
      <c r="A415" s="52" t="s">
        <v>67</v>
      </c>
      <c r="B415" s="49" t="s">
        <v>72</v>
      </c>
      <c r="C415" t="s">
        <v>503</v>
      </c>
      <c r="D415" t="s">
        <v>9</v>
      </c>
      <c r="E415" s="13">
        <v>71.59999999999998</v>
      </c>
      <c r="F415" s="13"/>
      <c r="G415" s="13"/>
      <c r="H415" s="13">
        <f t="shared" si="22"/>
        <v>71.59999999999998</v>
      </c>
      <c r="I415" s="13"/>
      <c r="J415" s="13">
        <f t="shared" si="23"/>
        <v>71.59999999999998</v>
      </c>
      <c r="K415" s="13"/>
      <c r="L415" s="13"/>
      <c r="M415" s="13"/>
      <c r="N415" s="50"/>
      <c r="O415" s="50"/>
      <c r="P415" s="50"/>
      <c r="Q415" t="s">
        <v>42</v>
      </c>
    </row>
    <row r="416" spans="1:17" hidden="1">
      <c r="A416" s="52" t="s">
        <v>67</v>
      </c>
      <c r="B416" s="49" t="s">
        <v>72</v>
      </c>
      <c r="C416" t="s">
        <v>504</v>
      </c>
      <c r="D416" t="s">
        <v>9</v>
      </c>
      <c r="E416" s="13">
        <v>76964.810000000012</v>
      </c>
      <c r="F416" s="13">
        <v>40979.020000000004</v>
      </c>
      <c r="G416" s="13"/>
      <c r="H416" s="13">
        <f t="shared" si="22"/>
        <v>117943.83000000002</v>
      </c>
      <c r="I416" s="13"/>
      <c r="J416" s="13">
        <f t="shared" si="23"/>
        <v>117943.83000000002</v>
      </c>
      <c r="K416" s="13"/>
      <c r="L416" s="13"/>
      <c r="M416" s="13"/>
      <c r="N416" s="50"/>
      <c r="O416" s="50"/>
      <c r="P416" s="50"/>
      <c r="Q416" t="s">
        <v>42</v>
      </c>
    </row>
    <row r="417" spans="1:19" hidden="1">
      <c r="A417" s="52" t="s">
        <v>67</v>
      </c>
      <c r="B417" s="49" t="s">
        <v>72</v>
      </c>
      <c r="C417" t="s">
        <v>505</v>
      </c>
      <c r="D417" t="s">
        <v>9</v>
      </c>
      <c r="E417" s="13">
        <v>548.84999999999991</v>
      </c>
      <c r="F417" s="13"/>
      <c r="G417" s="13"/>
      <c r="H417" s="13">
        <f t="shared" si="22"/>
        <v>548.84999999999991</v>
      </c>
      <c r="I417" s="13"/>
      <c r="J417" s="13">
        <f t="shared" si="23"/>
        <v>548.84999999999991</v>
      </c>
      <c r="K417" s="13"/>
      <c r="L417" s="13"/>
      <c r="M417" s="13"/>
      <c r="N417" s="50"/>
      <c r="O417" s="50"/>
      <c r="P417" s="50"/>
      <c r="Q417" t="s">
        <v>46</v>
      </c>
    </row>
    <row r="418" spans="1:19" hidden="1">
      <c r="A418" s="52" t="s">
        <v>67</v>
      </c>
      <c r="B418" s="49" t="s">
        <v>72</v>
      </c>
      <c r="C418" t="s">
        <v>506</v>
      </c>
      <c r="D418" t="s">
        <v>9</v>
      </c>
      <c r="E418" s="13"/>
      <c r="F418" s="13">
        <v>-2418.67</v>
      </c>
      <c r="G418" s="13"/>
      <c r="H418" s="13">
        <f t="shared" si="22"/>
        <v>-2418.67</v>
      </c>
      <c r="I418" s="13"/>
      <c r="J418" s="13">
        <f t="shared" si="23"/>
        <v>-2418.67</v>
      </c>
      <c r="K418" s="13"/>
      <c r="L418" s="13"/>
      <c r="M418" s="13"/>
      <c r="N418" s="50"/>
      <c r="O418" s="50"/>
      <c r="P418" s="50"/>
      <c r="Q418" t="s">
        <v>46</v>
      </c>
    </row>
    <row r="419" spans="1:19" hidden="1">
      <c r="A419" s="52" t="s">
        <v>67</v>
      </c>
      <c r="B419" s="49" t="s">
        <v>72</v>
      </c>
      <c r="C419" t="s">
        <v>507</v>
      </c>
      <c r="D419" t="s">
        <v>9</v>
      </c>
      <c r="E419" s="13">
        <v>-625.46000000000163</v>
      </c>
      <c r="F419" s="13">
        <v>9240.18</v>
      </c>
      <c r="G419" s="13"/>
      <c r="H419" s="13">
        <f t="shared" si="22"/>
        <v>8614.7199999999993</v>
      </c>
      <c r="I419" s="13"/>
      <c r="J419" s="13">
        <f t="shared" si="23"/>
        <v>8614.7199999999993</v>
      </c>
      <c r="K419" s="13"/>
      <c r="L419" s="13"/>
      <c r="M419" s="13"/>
      <c r="N419" s="50"/>
      <c r="O419" s="50"/>
      <c r="P419" s="50"/>
      <c r="Q419" t="s">
        <v>46</v>
      </c>
    </row>
    <row r="420" spans="1:19" hidden="1">
      <c r="A420" s="52" t="s">
        <v>67</v>
      </c>
      <c r="B420" s="49" t="s">
        <v>72</v>
      </c>
      <c r="C420" t="s">
        <v>508</v>
      </c>
      <c r="D420" t="s">
        <v>9</v>
      </c>
      <c r="E420" s="13">
        <v>2.1799999999883584</v>
      </c>
      <c r="F420" s="13"/>
      <c r="G420" s="13"/>
      <c r="H420" s="13">
        <f t="shared" si="22"/>
        <v>2.1799999999883584</v>
      </c>
      <c r="I420" s="13"/>
      <c r="J420" s="13">
        <f t="shared" si="23"/>
        <v>2.1799999999883584</v>
      </c>
      <c r="K420" s="13"/>
      <c r="L420" s="13"/>
      <c r="M420" s="13"/>
      <c r="N420" s="50"/>
      <c r="O420" s="50"/>
      <c r="P420" s="50"/>
      <c r="Q420" t="s">
        <v>46</v>
      </c>
    </row>
    <row r="421" spans="1:19" hidden="1">
      <c r="A421" s="52" t="s">
        <v>67</v>
      </c>
      <c r="B421" s="49" t="s">
        <v>72</v>
      </c>
      <c r="C421" t="s">
        <v>509</v>
      </c>
      <c r="D421" t="s">
        <v>9</v>
      </c>
      <c r="E421" s="13">
        <v>-50741.590000000004</v>
      </c>
      <c r="F421" s="13">
        <v>10301.480000000001</v>
      </c>
      <c r="G421" s="13"/>
      <c r="H421" s="13">
        <f t="shared" si="22"/>
        <v>-40440.11</v>
      </c>
      <c r="I421" s="13"/>
      <c r="J421" s="13">
        <f t="shared" si="23"/>
        <v>-40440.11</v>
      </c>
      <c r="K421" s="13"/>
      <c r="L421" s="13"/>
      <c r="M421" s="13"/>
      <c r="N421" s="50"/>
      <c r="O421" s="50"/>
      <c r="P421" s="50"/>
      <c r="Q421" t="s">
        <v>46</v>
      </c>
    </row>
    <row r="422" spans="1:19" hidden="1">
      <c r="A422" s="52" t="s">
        <v>67</v>
      </c>
      <c r="B422" s="49" t="s">
        <v>72</v>
      </c>
      <c r="C422" t="s">
        <v>510</v>
      </c>
      <c r="D422" t="s">
        <v>9</v>
      </c>
      <c r="E422" s="13"/>
      <c r="F422" s="13">
        <v>-2768.01</v>
      </c>
      <c r="G422" s="13"/>
      <c r="H422" s="13">
        <f t="shared" si="22"/>
        <v>-2768.01</v>
      </c>
      <c r="I422" s="13"/>
      <c r="J422" s="13">
        <f t="shared" si="23"/>
        <v>-2768.01</v>
      </c>
      <c r="K422" s="13"/>
      <c r="L422" s="13"/>
      <c r="M422" s="13"/>
      <c r="N422" s="50"/>
      <c r="O422" s="50"/>
      <c r="P422" s="50"/>
      <c r="Q422" t="s">
        <v>46</v>
      </c>
    </row>
    <row r="423" spans="1:19" hidden="1">
      <c r="A423" s="52" t="s">
        <v>67</v>
      </c>
      <c r="B423" s="49" t="s">
        <v>72</v>
      </c>
      <c r="C423" t="s">
        <v>511</v>
      </c>
      <c r="D423" t="s">
        <v>9</v>
      </c>
      <c r="E423" s="13"/>
      <c r="F423" s="13"/>
      <c r="G423" s="13"/>
      <c r="H423" s="13">
        <f t="shared" si="22"/>
        <v>0</v>
      </c>
      <c r="I423" s="13">
        <v>1000000</v>
      </c>
      <c r="J423" s="13">
        <f t="shared" si="23"/>
        <v>1000000</v>
      </c>
      <c r="K423" s="13"/>
      <c r="L423" s="13"/>
      <c r="M423" s="13"/>
      <c r="N423" s="50"/>
      <c r="O423" s="50"/>
      <c r="P423" s="50"/>
      <c r="Q423" t="s">
        <v>45</v>
      </c>
    </row>
    <row r="424" spans="1:19" hidden="1">
      <c r="A424" s="52" t="s">
        <v>67</v>
      </c>
      <c r="B424" s="49" t="s">
        <v>72</v>
      </c>
      <c r="C424" t="s">
        <v>512</v>
      </c>
      <c r="D424" t="s">
        <v>9</v>
      </c>
      <c r="E424" s="13"/>
      <c r="F424" s="13"/>
      <c r="G424" s="13"/>
      <c r="H424" s="13">
        <f t="shared" si="22"/>
        <v>0</v>
      </c>
      <c r="I424" s="13">
        <v>1000000</v>
      </c>
      <c r="J424" s="13">
        <f t="shared" si="23"/>
        <v>1000000</v>
      </c>
      <c r="K424" s="13"/>
      <c r="L424" s="13"/>
      <c r="M424" s="13"/>
      <c r="N424" s="50"/>
      <c r="O424" s="50"/>
      <c r="P424" s="50"/>
      <c r="Q424" t="s">
        <v>45</v>
      </c>
    </row>
    <row r="425" spans="1:19" hidden="1">
      <c r="A425" s="52" t="s">
        <v>67</v>
      </c>
      <c r="B425" s="49" t="s">
        <v>72</v>
      </c>
      <c r="C425" t="s">
        <v>513</v>
      </c>
      <c r="D425" t="s">
        <v>87</v>
      </c>
      <c r="E425" s="13"/>
      <c r="F425" s="13">
        <v>13820808.930000002</v>
      </c>
      <c r="G425" s="13">
        <v>24348195.620000001</v>
      </c>
      <c r="H425" s="13">
        <f t="shared" si="22"/>
        <v>38169004.550000004</v>
      </c>
      <c r="I425" s="13">
        <v>39526861.709999993</v>
      </c>
      <c r="J425" s="13">
        <f t="shared" si="23"/>
        <v>77695866.25999999</v>
      </c>
      <c r="K425" s="13">
        <v>0</v>
      </c>
      <c r="L425" s="13">
        <f>+K425+J425</f>
        <v>77695866.25999999</v>
      </c>
      <c r="M425" s="50">
        <v>49535276</v>
      </c>
      <c r="N425" s="50">
        <v>30959547</v>
      </c>
      <c r="O425" s="50">
        <v>0</v>
      </c>
      <c r="P425" s="50">
        <f>+SUM(M425:O425)</f>
        <v>80494823</v>
      </c>
      <c r="Q425" s="51" t="s">
        <v>25</v>
      </c>
      <c r="S425" s="13"/>
    </row>
    <row r="426" spans="1:19" hidden="1">
      <c r="A426" s="52" t="s">
        <v>67</v>
      </c>
      <c r="B426" s="49" t="s">
        <v>72</v>
      </c>
      <c r="C426" t="s">
        <v>514</v>
      </c>
      <c r="D426" t="s">
        <v>9</v>
      </c>
      <c r="E426" s="13">
        <v>1407880.38</v>
      </c>
      <c r="F426" s="13">
        <v>718626.09000000008</v>
      </c>
      <c r="G426" s="13">
        <v>1832316.05</v>
      </c>
      <c r="H426" s="13">
        <f t="shared" si="22"/>
        <v>3958822.5199999996</v>
      </c>
      <c r="I426" s="13">
        <v>1067287.52</v>
      </c>
      <c r="J426" s="13">
        <f t="shared" si="23"/>
        <v>5026110.0399999991</v>
      </c>
      <c r="K426" s="13"/>
      <c r="L426" s="13"/>
      <c r="M426" s="13"/>
      <c r="N426" s="50"/>
      <c r="O426" s="50"/>
      <c r="P426" s="50"/>
      <c r="Q426" t="s">
        <v>45</v>
      </c>
    </row>
    <row r="427" spans="1:19" hidden="1">
      <c r="A427" s="52" t="s">
        <v>67</v>
      </c>
      <c r="B427" s="49" t="s">
        <v>72</v>
      </c>
      <c r="C427" t="s">
        <v>515</v>
      </c>
      <c r="D427" t="s">
        <v>9</v>
      </c>
      <c r="E427" s="13"/>
      <c r="F427" s="13">
        <v>159333</v>
      </c>
      <c r="G427" s="13">
        <v>1029972</v>
      </c>
      <c r="H427" s="13">
        <f t="shared" si="22"/>
        <v>1189305</v>
      </c>
      <c r="I427" s="13"/>
      <c r="J427" s="13">
        <f t="shared" si="23"/>
        <v>1189305</v>
      </c>
      <c r="K427" s="13"/>
      <c r="L427" s="13"/>
      <c r="M427" s="13"/>
      <c r="N427" s="50"/>
      <c r="O427" s="50"/>
      <c r="P427" s="50"/>
      <c r="Q427" t="s">
        <v>46</v>
      </c>
    </row>
    <row r="428" spans="1:19" hidden="1">
      <c r="A428" s="52" t="s">
        <v>67</v>
      </c>
      <c r="B428" s="49" t="s">
        <v>72</v>
      </c>
      <c r="C428" t="s">
        <v>516</v>
      </c>
      <c r="D428" t="s">
        <v>9</v>
      </c>
      <c r="E428" s="13">
        <v>-37080.859999999993</v>
      </c>
      <c r="F428" s="13">
        <v>862.5</v>
      </c>
      <c r="G428" s="13"/>
      <c r="H428" s="13">
        <f t="shared" si="22"/>
        <v>-36218.359999999993</v>
      </c>
      <c r="I428" s="13"/>
      <c r="J428" s="13">
        <f t="shared" si="23"/>
        <v>-36218.359999999993</v>
      </c>
      <c r="K428" s="13"/>
      <c r="L428" s="13"/>
      <c r="M428" s="13"/>
      <c r="N428" s="50"/>
      <c r="O428" s="50"/>
      <c r="P428" s="50"/>
      <c r="Q428" t="s">
        <v>42</v>
      </c>
    </row>
    <row r="429" spans="1:19" hidden="1">
      <c r="A429" s="52" t="s">
        <v>67</v>
      </c>
      <c r="B429" s="49" t="s">
        <v>72</v>
      </c>
      <c r="C429" t="s">
        <v>517</v>
      </c>
      <c r="D429" t="s">
        <v>9</v>
      </c>
      <c r="E429" s="13">
        <v>1596486.1800000004</v>
      </c>
      <c r="F429" s="13">
        <v>673307.11</v>
      </c>
      <c r="G429" s="13">
        <v>1832316</v>
      </c>
      <c r="H429" s="13">
        <f t="shared" si="22"/>
        <v>4102109.2900000005</v>
      </c>
      <c r="I429" s="13">
        <v>1067287.52</v>
      </c>
      <c r="J429" s="13">
        <f t="shared" si="23"/>
        <v>5169396.8100000005</v>
      </c>
      <c r="K429" s="13"/>
      <c r="L429" s="13"/>
      <c r="M429" s="13"/>
      <c r="N429" s="50"/>
      <c r="O429" s="50"/>
      <c r="P429" s="50"/>
      <c r="Q429" t="s">
        <v>46</v>
      </c>
    </row>
    <row r="430" spans="1:19" hidden="1">
      <c r="A430" s="52" t="s">
        <v>67</v>
      </c>
      <c r="B430" s="49" t="s">
        <v>72</v>
      </c>
      <c r="C430" t="s">
        <v>518</v>
      </c>
      <c r="D430" t="s">
        <v>9</v>
      </c>
      <c r="E430" s="13">
        <v>1532999.1500000004</v>
      </c>
      <c r="F430" s="13">
        <v>670186.25</v>
      </c>
      <c r="G430" s="13">
        <v>1832316.05</v>
      </c>
      <c r="H430" s="13">
        <f t="shared" si="22"/>
        <v>4035501.45</v>
      </c>
      <c r="I430" s="13">
        <v>1067287.52</v>
      </c>
      <c r="J430" s="13">
        <f t="shared" si="23"/>
        <v>5102788.9700000007</v>
      </c>
      <c r="K430" s="13"/>
      <c r="L430" s="13"/>
      <c r="M430" s="13"/>
      <c r="N430" s="50"/>
      <c r="O430" s="50"/>
      <c r="P430" s="50"/>
      <c r="Q430" t="s">
        <v>46</v>
      </c>
    </row>
    <row r="431" spans="1:19" hidden="1">
      <c r="A431" s="52" t="s">
        <v>67</v>
      </c>
      <c r="B431" s="49" t="s">
        <v>72</v>
      </c>
      <c r="C431" t="s">
        <v>519</v>
      </c>
      <c r="D431" t="s">
        <v>9</v>
      </c>
      <c r="E431" s="13">
        <v>1504060.09</v>
      </c>
      <c r="F431" s="13">
        <v>678395.39999999991</v>
      </c>
      <c r="G431" s="13">
        <v>1832316.05</v>
      </c>
      <c r="H431" s="13">
        <f t="shared" si="22"/>
        <v>4014771.54</v>
      </c>
      <c r="I431" s="13">
        <v>1067287.52</v>
      </c>
      <c r="J431" s="13">
        <f t="shared" si="23"/>
        <v>5082059.0600000005</v>
      </c>
      <c r="K431" s="13"/>
      <c r="L431" s="13"/>
      <c r="M431" s="13"/>
      <c r="N431" s="50"/>
      <c r="O431" s="50"/>
      <c r="P431" s="50"/>
      <c r="Q431" t="s">
        <v>46</v>
      </c>
    </row>
    <row r="432" spans="1:19" hidden="1">
      <c r="A432" s="52" t="s">
        <v>67</v>
      </c>
      <c r="B432" s="49" t="s">
        <v>72</v>
      </c>
      <c r="C432" t="s">
        <v>520</v>
      </c>
      <c r="D432" t="s">
        <v>9</v>
      </c>
      <c r="E432" s="13">
        <v>-3147.8300000000004</v>
      </c>
      <c r="F432" s="13"/>
      <c r="G432" s="13"/>
      <c r="H432" s="13">
        <f t="shared" si="22"/>
        <v>-3147.8300000000004</v>
      </c>
      <c r="I432" s="13"/>
      <c r="J432" s="13">
        <f t="shared" si="23"/>
        <v>-3147.8300000000004</v>
      </c>
      <c r="K432" s="13"/>
      <c r="L432" s="13"/>
      <c r="M432" s="13"/>
      <c r="N432" s="50"/>
      <c r="O432" s="50"/>
      <c r="P432" s="50"/>
      <c r="Q432" t="s">
        <v>42</v>
      </c>
    </row>
    <row r="433" spans="1:19" hidden="1">
      <c r="A433" s="52" t="s">
        <v>67</v>
      </c>
      <c r="B433" s="49" t="s">
        <v>72</v>
      </c>
      <c r="C433" t="s">
        <v>521</v>
      </c>
      <c r="D433" t="s">
        <v>9</v>
      </c>
      <c r="E433" s="13">
        <v>50956.009999999995</v>
      </c>
      <c r="F433" s="13"/>
      <c r="G433" s="13"/>
      <c r="H433" s="13">
        <f t="shared" si="22"/>
        <v>50956.009999999995</v>
      </c>
      <c r="I433" s="13"/>
      <c r="J433" s="13">
        <f t="shared" si="23"/>
        <v>50956.009999999995</v>
      </c>
      <c r="K433" s="13"/>
      <c r="L433" s="13"/>
      <c r="M433" s="13"/>
      <c r="N433" s="50"/>
      <c r="O433" s="50"/>
      <c r="P433" s="50"/>
      <c r="Q433" t="s">
        <v>21</v>
      </c>
    </row>
    <row r="434" spans="1:19" hidden="1">
      <c r="A434" s="52" t="s">
        <v>67</v>
      </c>
      <c r="B434" s="49" t="s">
        <v>72</v>
      </c>
      <c r="C434" t="s">
        <v>522</v>
      </c>
      <c r="D434" t="s">
        <v>87</v>
      </c>
      <c r="E434" s="13"/>
      <c r="F434" s="13">
        <v>882719.05</v>
      </c>
      <c r="G434" s="13">
        <v>250000</v>
      </c>
      <c r="H434" s="13">
        <f t="shared" si="22"/>
        <v>1132719.05</v>
      </c>
      <c r="I434" s="13">
        <v>4374278</v>
      </c>
      <c r="J434" s="13">
        <f t="shared" si="23"/>
        <v>5506997.0499999998</v>
      </c>
      <c r="K434" s="13">
        <v>46887754</v>
      </c>
      <c r="L434" s="13">
        <f>+K434+J434</f>
        <v>52394751.049999997</v>
      </c>
      <c r="M434" s="50">
        <v>0</v>
      </c>
      <c r="N434" s="50">
        <v>16159560</v>
      </c>
      <c r="O434" s="50">
        <v>37696510</v>
      </c>
      <c r="P434" s="50">
        <f>+SUM(M434:O434)</f>
        <v>53856070</v>
      </c>
      <c r="Q434" s="51" t="s">
        <v>26</v>
      </c>
      <c r="S434" s="13"/>
    </row>
    <row r="435" spans="1:19" hidden="1">
      <c r="A435" s="52" t="s">
        <v>67</v>
      </c>
      <c r="B435" s="49" t="s">
        <v>72</v>
      </c>
      <c r="C435" t="s">
        <v>523</v>
      </c>
      <c r="D435" t="s">
        <v>9</v>
      </c>
      <c r="E435" s="13">
        <v>42884.26</v>
      </c>
      <c r="F435" s="13"/>
      <c r="G435" s="13"/>
      <c r="H435" s="13">
        <f t="shared" si="22"/>
        <v>42884.26</v>
      </c>
      <c r="I435" s="13"/>
      <c r="J435" s="13">
        <f t="shared" si="23"/>
        <v>42884.26</v>
      </c>
      <c r="K435" s="13"/>
      <c r="L435" s="13"/>
      <c r="M435" s="13"/>
      <c r="N435" s="50"/>
      <c r="O435" s="50"/>
      <c r="P435" s="50"/>
      <c r="Q435" t="s">
        <v>46</v>
      </c>
    </row>
    <row r="436" spans="1:19" hidden="1">
      <c r="A436" s="52" t="s">
        <v>67</v>
      </c>
      <c r="B436" s="49" t="s">
        <v>72</v>
      </c>
      <c r="C436" t="s">
        <v>524</v>
      </c>
      <c r="D436" t="s">
        <v>9</v>
      </c>
      <c r="E436" s="13">
        <v>1143.03</v>
      </c>
      <c r="F436" s="13"/>
      <c r="G436" s="13"/>
      <c r="H436" s="13">
        <f t="shared" si="22"/>
        <v>1143.03</v>
      </c>
      <c r="I436" s="13"/>
      <c r="J436" s="13">
        <f t="shared" si="23"/>
        <v>1143.03</v>
      </c>
      <c r="K436" s="13"/>
      <c r="L436" s="13"/>
      <c r="M436" s="13"/>
      <c r="N436" s="50"/>
      <c r="O436" s="50"/>
      <c r="P436" s="50"/>
      <c r="Q436" t="s">
        <v>21</v>
      </c>
    </row>
    <row r="437" spans="1:19" hidden="1">
      <c r="A437" s="52" t="s">
        <v>67</v>
      </c>
      <c r="B437" s="49" t="s">
        <v>72</v>
      </c>
      <c r="C437" t="s">
        <v>525</v>
      </c>
      <c r="D437" t="s">
        <v>9</v>
      </c>
      <c r="E437" s="13">
        <v>8391.61</v>
      </c>
      <c r="F437" s="13"/>
      <c r="G437" s="13"/>
      <c r="H437" s="13">
        <f t="shared" si="22"/>
        <v>8391.61</v>
      </c>
      <c r="I437" s="13"/>
      <c r="J437" s="13">
        <f t="shared" si="23"/>
        <v>8391.61</v>
      </c>
      <c r="K437" s="13"/>
      <c r="L437" s="13"/>
      <c r="M437" s="13"/>
      <c r="N437" s="50"/>
      <c r="O437" s="50"/>
      <c r="P437" s="50"/>
      <c r="Q437" t="s">
        <v>21</v>
      </c>
    </row>
    <row r="438" spans="1:19" hidden="1">
      <c r="A438" s="52" t="s">
        <v>67</v>
      </c>
      <c r="B438" s="49" t="s">
        <v>72</v>
      </c>
      <c r="C438" t="s">
        <v>526</v>
      </c>
      <c r="D438" t="s">
        <v>9</v>
      </c>
      <c r="E438" s="13"/>
      <c r="F438" s="13"/>
      <c r="G438" s="13"/>
      <c r="H438" s="13">
        <f t="shared" si="22"/>
        <v>0</v>
      </c>
      <c r="I438" s="13">
        <v>450000</v>
      </c>
      <c r="J438" s="13">
        <f t="shared" si="23"/>
        <v>450000</v>
      </c>
      <c r="K438" s="13"/>
      <c r="L438" s="13"/>
      <c r="M438" s="13"/>
      <c r="N438" s="50"/>
      <c r="O438" s="50"/>
      <c r="P438" s="50"/>
      <c r="Q438" t="s">
        <v>21</v>
      </c>
    </row>
    <row r="439" spans="1:19" hidden="1">
      <c r="A439" s="52" t="s">
        <v>67</v>
      </c>
      <c r="B439" s="49" t="s">
        <v>72</v>
      </c>
      <c r="C439" t="s">
        <v>527</v>
      </c>
      <c r="D439" t="s">
        <v>9</v>
      </c>
      <c r="E439" s="13">
        <v>648435.31999999995</v>
      </c>
      <c r="F439" s="13">
        <v>537579.55000000005</v>
      </c>
      <c r="G439" s="13">
        <v>200000</v>
      </c>
      <c r="H439" s="13">
        <f t="shared" si="22"/>
        <v>1386014.87</v>
      </c>
      <c r="I439" s="13">
        <v>200000.04</v>
      </c>
      <c r="J439" s="13">
        <f t="shared" si="23"/>
        <v>1586014.9100000001</v>
      </c>
      <c r="K439" s="13"/>
      <c r="L439" s="13"/>
      <c r="M439" s="13"/>
      <c r="N439" s="50"/>
      <c r="O439" s="50"/>
      <c r="P439" s="50"/>
      <c r="Q439" t="s">
        <v>21</v>
      </c>
    </row>
    <row r="440" spans="1:19" hidden="1">
      <c r="A440" s="52" t="s">
        <v>67</v>
      </c>
      <c r="B440" s="49" t="s">
        <v>72</v>
      </c>
      <c r="C440" t="s">
        <v>528</v>
      </c>
      <c r="D440" t="s">
        <v>9</v>
      </c>
      <c r="E440" s="13">
        <v>482677.3</v>
      </c>
      <c r="F440" s="13">
        <v>427299.9499999999</v>
      </c>
      <c r="G440" s="13">
        <v>201850</v>
      </c>
      <c r="H440" s="13">
        <f t="shared" si="22"/>
        <v>1111827.25</v>
      </c>
      <c r="I440" s="13"/>
      <c r="J440" s="13">
        <f t="shared" si="23"/>
        <v>1111827.25</v>
      </c>
      <c r="K440" s="13"/>
      <c r="L440" s="13"/>
      <c r="M440" s="13"/>
      <c r="N440" s="50"/>
      <c r="O440" s="50"/>
      <c r="P440" s="50"/>
      <c r="Q440" t="s">
        <v>46</v>
      </c>
    </row>
    <row r="441" spans="1:19" hidden="1">
      <c r="A441" s="52" t="s">
        <v>67</v>
      </c>
      <c r="B441" s="49" t="s">
        <v>72</v>
      </c>
      <c r="C441" t="s">
        <v>529</v>
      </c>
      <c r="D441" t="s">
        <v>9</v>
      </c>
      <c r="E441" s="13">
        <v>7136.2199999999984</v>
      </c>
      <c r="F441" s="13"/>
      <c r="G441" s="13"/>
      <c r="H441" s="13">
        <f t="shared" si="22"/>
        <v>7136.2199999999984</v>
      </c>
      <c r="I441" s="13"/>
      <c r="J441" s="13">
        <f t="shared" si="23"/>
        <v>7136.2199999999984</v>
      </c>
      <c r="K441" s="13"/>
      <c r="L441" s="13"/>
      <c r="M441" s="13"/>
      <c r="N441" s="50"/>
      <c r="O441" s="50"/>
      <c r="P441" s="50"/>
      <c r="Q441" t="s">
        <v>46</v>
      </c>
    </row>
    <row r="442" spans="1:19" hidden="1">
      <c r="A442" s="52" t="s">
        <v>67</v>
      </c>
      <c r="B442" s="49" t="s">
        <v>72</v>
      </c>
      <c r="C442" t="s">
        <v>530</v>
      </c>
      <c r="D442" t="s">
        <v>9</v>
      </c>
      <c r="E442" s="13">
        <v>-1088</v>
      </c>
      <c r="F442" s="13">
        <v>-20000</v>
      </c>
      <c r="G442" s="13"/>
      <c r="H442" s="13">
        <f t="shared" si="22"/>
        <v>-21088</v>
      </c>
      <c r="I442" s="13"/>
      <c r="J442" s="13">
        <f t="shared" si="23"/>
        <v>-21088</v>
      </c>
      <c r="K442" s="13"/>
      <c r="L442" s="13"/>
      <c r="M442" s="13"/>
      <c r="N442" s="50"/>
      <c r="O442" s="50"/>
      <c r="P442" s="50"/>
      <c r="Q442" t="s">
        <v>46</v>
      </c>
    </row>
    <row r="443" spans="1:19" hidden="1">
      <c r="A443" s="52" t="s">
        <v>67</v>
      </c>
      <c r="B443" s="49" t="s">
        <v>72</v>
      </c>
      <c r="C443" t="s">
        <v>531</v>
      </c>
      <c r="D443" t="s">
        <v>9</v>
      </c>
      <c r="E443" s="13"/>
      <c r="F443" s="13">
        <v>77688.37</v>
      </c>
      <c r="G443" s="13"/>
      <c r="H443" s="13">
        <f t="shared" si="22"/>
        <v>77688.37</v>
      </c>
      <c r="I443" s="13"/>
      <c r="J443" s="13">
        <f t="shared" si="23"/>
        <v>77688.37</v>
      </c>
      <c r="K443" s="13"/>
      <c r="L443" s="13"/>
      <c r="M443" s="13"/>
      <c r="N443" s="50"/>
      <c r="O443" s="50"/>
      <c r="P443" s="50"/>
      <c r="Q443" t="s">
        <v>21</v>
      </c>
    </row>
    <row r="444" spans="1:19" hidden="1">
      <c r="A444" s="52" t="s">
        <v>67</v>
      </c>
      <c r="B444" s="49" t="s">
        <v>532</v>
      </c>
      <c r="C444" t="s">
        <v>533</v>
      </c>
      <c r="D444" t="s">
        <v>9</v>
      </c>
      <c r="E444" s="13"/>
      <c r="F444" s="13">
        <v>130050</v>
      </c>
      <c r="G444" s="13">
        <v>90000</v>
      </c>
      <c r="H444" s="13">
        <f t="shared" si="22"/>
        <v>220050</v>
      </c>
      <c r="I444" s="13">
        <v>100000</v>
      </c>
      <c r="J444" s="13">
        <f t="shared" si="23"/>
        <v>320050</v>
      </c>
      <c r="K444" s="13"/>
      <c r="L444" s="13"/>
      <c r="M444" s="13"/>
      <c r="N444" s="50"/>
      <c r="O444" s="50"/>
      <c r="P444" s="50"/>
      <c r="Q444" t="s">
        <v>42</v>
      </c>
    </row>
    <row r="445" spans="1:19" hidden="1">
      <c r="A445" s="52" t="s">
        <v>67</v>
      </c>
      <c r="B445" s="49" t="s">
        <v>532</v>
      </c>
      <c r="C445" t="s">
        <v>534</v>
      </c>
      <c r="D445" t="s">
        <v>9</v>
      </c>
      <c r="E445" s="13">
        <v>280971.56000000006</v>
      </c>
      <c r="F445" s="13">
        <v>1862173.06</v>
      </c>
      <c r="G445" s="13">
        <v>291204</v>
      </c>
      <c r="H445" s="13">
        <f t="shared" si="22"/>
        <v>2434348.62</v>
      </c>
      <c r="I445" s="13">
        <v>302844</v>
      </c>
      <c r="J445" s="13">
        <f t="shared" si="23"/>
        <v>2737192.62</v>
      </c>
      <c r="K445" s="13"/>
      <c r="L445" s="13"/>
      <c r="M445" s="13"/>
      <c r="N445" s="50"/>
      <c r="O445" s="50"/>
      <c r="P445" s="50"/>
      <c r="Q445" t="s">
        <v>42</v>
      </c>
    </row>
    <row r="446" spans="1:19" hidden="1">
      <c r="A446" s="52" t="s">
        <v>67</v>
      </c>
      <c r="B446" s="49" t="s">
        <v>532</v>
      </c>
      <c r="C446" t="s">
        <v>535</v>
      </c>
      <c r="D446" t="s">
        <v>9</v>
      </c>
      <c r="E446" s="13"/>
      <c r="F446" s="13">
        <v>89374.450000000012</v>
      </c>
      <c r="G446" s="13">
        <v>104004</v>
      </c>
      <c r="H446" s="13">
        <f t="shared" si="22"/>
        <v>193378.45</v>
      </c>
      <c r="I446" s="13">
        <v>108156</v>
      </c>
      <c r="J446" s="13">
        <f t="shared" si="23"/>
        <v>301534.45</v>
      </c>
      <c r="K446" s="13"/>
      <c r="L446" s="13"/>
      <c r="M446" s="13"/>
      <c r="N446" s="50"/>
      <c r="O446" s="50"/>
      <c r="P446" s="50"/>
      <c r="Q446" t="s">
        <v>42</v>
      </c>
    </row>
    <row r="447" spans="1:19" hidden="1">
      <c r="A447" s="52" t="s">
        <v>67</v>
      </c>
      <c r="B447" s="49" t="s">
        <v>532</v>
      </c>
      <c r="C447" t="s">
        <v>536</v>
      </c>
      <c r="D447" t="s">
        <v>9</v>
      </c>
      <c r="E447" s="13">
        <v>103618.25</v>
      </c>
      <c r="F447" s="13">
        <v>393311.22999999992</v>
      </c>
      <c r="G447" s="13">
        <v>78000</v>
      </c>
      <c r="H447" s="13">
        <f t="shared" si="22"/>
        <v>574929.48</v>
      </c>
      <c r="I447" s="13">
        <v>81120</v>
      </c>
      <c r="J447" s="13">
        <f t="shared" si="23"/>
        <v>656049.48</v>
      </c>
      <c r="K447" s="13"/>
      <c r="L447" s="13"/>
      <c r="M447" s="13"/>
      <c r="N447" s="50"/>
      <c r="O447" s="50"/>
      <c r="P447" s="50"/>
      <c r="Q447" t="s">
        <v>42</v>
      </c>
    </row>
    <row r="448" spans="1:19" hidden="1">
      <c r="A448" s="52" t="s">
        <v>67</v>
      </c>
      <c r="B448" s="49" t="s">
        <v>532</v>
      </c>
      <c r="C448" t="s">
        <v>537</v>
      </c>
      <c r="D448" t="s">
        <v>9</v>
      </c>
      <c r="E448" s="13"/>
      <c r="F448" s="13">
        <v>69181.45</v>
      </c>
      <c r="G448" s="13">
        <v>236853.45</v>
      </c>
      <c r="H448" s="13">
        <f t="shared" si="22"/>
        <v>306034.90000000002</v>
      </c>
      <c r="I448" s="13"/>
      <c r="J448" s="13">
        <f t="shared" si="23"/>
        <v>306034.90000000002</v>
      </c>
      <c r="K448" s="13"/>
      <c r="L448" s="13"/>
      <c r="M448" s="13"/>
      <c r="N448" s="50"/>
      <c r="O448" s="50"/>
      <c r="P448" s="50"/>
      <c r="Q448" t="s">
        <v>43</v>
      </c>
    </row>
    <row r="449" spans="1:17" hidden="1">
      <c r="A449" s="52" t="s">
        <v>67</v>
      </c>
      <c r="B449" s="49" t="s">
        <v>532</v>
      </c>
      <c r="C449" t="s">
        <v>538</v>
      </c>
      <c r="D449" t="s">
        <v>9</v>
      </c>
      <c r="E449" s="13">
        <v>184721.26</v>
      </c>
      <c r="F449" s="13">
        <v>852016.23999999987</v>
      </c>
      <c r="G449" s="13">
        <v>145596</v>
      </c>
      <c r="H449" s="13">
        <f t="shared" si="22"/>
        <v>1182333.5</v>
      </c>
      <c r="I449" s="13">
        <v>151428</v>
      </c>
      <c r="J449" s="13">
        <f t="shared" si="23"/>
        <v>1333761.5</v>
      </c>
      <c r="K449" s="13"/>
      <c r="L449" s="13"/>
      <c r="M449" s="13"/>
      <c r="N449" s="50"/>
      <c r="O449" s="50"/>
      <c r="P449" s="50"/>
      <c r="Q449" t="s">
        <v>48</v>
      </c>
    </row>
    <row r="450" spans="1:17" hidden="1">
      <c r="A450" s="52" t="s">
        <v>67</v>
      </c>
      <c r="B450" s="49" t="s">
        <v>532</v>
      </c>
      <c r="C450" t="s">
        <v>539</v>
      </c>
      <c r="D450" t="s">
        <v>9</v>
      </c>
      <c r="E450" s="13"/>
      <c r="F450" s="13">
        <v>134912.4</v>
      </c>
      <c r="G450" s="13">
        <v>90000</v>
      </c>
      <c r="H450" s="13">
        <f t="shared" ref="H450:H513" si="24">+SUM(E450:G450)</f>
        <v>224912.4</v>
      </c>
      <c r="I450" s="13">
        <v>100000</v>
      </c>
      <c r="J450" s="13">
        <f t="shared" ref="J450:J513" si="25">+I450+H450</f>
        <v>324912.40000000002</v>
      </c>
      <c r="K450" s="13"/>
      <c r="L450" s="13"/>
      <c r="M450" s="13"/>
      <c r="N450" s="50"/>
      <c r="O450" s="50"/>
      <c r="P450" s="50"/>
      <c r="Q450" t="s">
        <v>42</v>
      </c>
    </row>
    <row r="451" spans="1:17" hidden="1">
      <c r="A451" s="52" t="s">
        <v>67</v>
      </c>
      <c r="B451" s="49" t="s">
        <v>532</v>
      </c>
      <c r="C451" t="s">
        <v>540</v>
      </c>
      <c r="D451" t="s">
        <v>9</v>
      </c>
      <c r="E451" s="13">
        <v>154755.56</v>
      </c>
      <c r="F451" s="13">
        <v>446458.95</v>
      </c>
      <c r="G451" s="13">
        <v>234000</v>
      </c>
      <c r="H451" s="13">
        <f t="shared" si="24"/>
        <v>835214.51</v>
      </c>
      <c r="I451" s="13">
        <v>243360</v>
      </c>
      <c r="J451" s="13">
        <f t="shared" si="25"/>
        <v>1078574.51</v>
      </c>
      <c r="K451" s="13"/>
      <c r="L451" s="13"/>
      <c r="M451" s="13"/>
      <c r="N451" s="50"/>
      <c r="O451" s="50"/>
      <c r="P451" s="50"/>
      <c r="Q451" t="s">
        <v>42</v>
      </c>
    </row>
    <row r="452" spans="1:17" hidden="1">
      <c r="A452" s="52" t="s">
        <v>67</v>
      </c>
      <c r="B452" s="49" t="s">
        <v>532</v>
      </c>
      <c r="C452" t="s">
        <v>541</v>
      </c>
      <c r="D452" t="s">
        <v>9</v>
      </c>
      <c r="E452" s="13">
        <v>365232.01</v>
      </c>
      <c r="F452" s="13">
        <v>1275195.6399999999</v>
      </c>
      <c r="G452" s="13">
        <v>1060132</v>
      </c>
      <c r="H452" s="13">
        <f t="shared" si="24"/>
        <v>2700559.65</v>
      </c>
      <c r="I452" s="13">
        <v>3014667</v>
      </c>
      <c r="J452" s="13">
        <f t="shared" si="25"/>
        <v>5715226.6500000004</v>
      </c>
      <c r="K452" s="13"/>
      <c r="L452" s="13"/>
      <c r="M452" s="13"/>
      <c r="N452" s="50"/>
      <c r="O452" s="50"/>
      <c r="P452" s="50"/>
      <c r="Q452" t="s">
        <v>48</v>
      </c>
    </row>
    <row r="453" spans="1:17" hidden="1">
      <c r="A453" s="52" t="s">
        <v>67</v>
      </c>
      <c r="B453" s="49" t="s">
        <v>532</v>
      </c>
      <c r="C453" t="s">
        <v>542</v>
      </c>
      <c r="D453" t="s">
        <v>9</v>
      </c>
      <c r="E453" s="13">
        <v>84720.34</v>
      </c>
      <c r="F453" s="13">
        <v>204973.53</v>
      </c>
      <c r="G453" s="13">
        <v>239196</v>
      </c>
      <c r="H453" s="13">
        <f t="shared" si="24"/>
        <v>528889.87</v>
      </c>
      <c r="I453" s="13">
        <v>248772</v>
      </c>
      <c r="J453" s="13">
        <f t="shared" si="25"/>
        <v>777661.87</v>
      </c>
      <c r="K453" s="13"/>
      <c r="L453" s="13"/>
      <c r="M453" s="13"/>
      <c r="N453" s="50"/>
      <c r="O453" s="50"/>
      <c r="P453" s="50"/>
      <c r="Q453" t="s">
        <v>48</v>
      </c>
    </row>
    <row r="454" spans="1:17" hidden="1">
      <c r="A454" s="52" t="s">
        <v>67</v>
      </c>
      <c r="B454" s="49" t="s">
        <v>532</v>
      </c>
      <c r="C454" t="s">
        <v>543</v>
      </c>
      <c r="D454" t="s">
        <v>9</v>
      </c>
      <c r="E454" s="13"/>
      <c r="F454" s="13">
        <v>427314.98</v>
      </c>
      <c r="G454" s="13"/>
      <c r="H454" s="13">
        <f t="shared" si="24"/>
        <v>427314.98</v>
      </c>
      <c r="I454" s="13"/>
      <c r="J454" s="13">
        <f t="shared" si="25"/>
        <v>427314.98</v>
      </c>
      <c r="K454" s="13"/>
      <c r="L454" s="13"/>
      <c r="M454" s="13"/>
      <c r="N454" s="50"/>
      <c r="O454" s="50"/>
      <c r="P454" s="50"/>
      <c r="Q454" t="s">
        <v>48</v>
      </c>
    </row>
    <row r="455" spans="1:17" hidden="1">
      <c r="A455" s="52" t="s">
        <v>67</v>
      </c>
      <c r="B455" s="49" t="s">
        <v>532</v>
      </c>
      <c r="C455" t="s">
        <v>544</v>
      </c>
      <c r="D455" t="s">
        <v>9</v>
      </c>
      <c r="E455" s="13"/>
      <c r="F455" s="13">
        <v>316811.46000000002</v>
      </c>
      <c r="G455" s="13">
        <v>291204</v>
      </c>
      <c r="H455" s="13">
        <f t="shared" si="24"/>
        <v>608015.46</v>
      </c>
      <c r="I455" s="13">
        <v>302844</v>
      </c>
      <c r="J455" s="13">
        <f t="shared" si="25"/>
        <v>910859.46</v>
      </c>
      <c r="K455" s="13"/>
      <c r="L455" s="13"/>
      <c r="M455" s="13"/>
      <c r="N455" s="50"/>
      <c r="O455" s="50"/>
      <c r="P455" s="50"/>
      <c r="Q455" t="s">
        <v>42</v>
      </c>
    </row>
    <row r="456" spans="1:17" hidden="1">
      <c r="A456" s="52" t="s">
        <v>67</v>
      </c>
      <c r="B456" s="49" t="s">
        <v>532</v>
      </c>
      <c r="C456" t="s">
        <v>545</v>
      </c>
      <c r="D456" t="s">
        <v>9</v>
      </c>
      <c r="E456" s="13"/>
      <c r="F456" s="13">
        <v>104645.86</v>
      </c>
      <c r="G456" s="13">
        <v>90000</v>
      </c>
      <c r="H456" s="13">
        <f t="shared" si="24"/>
        <v>194645.86</v>
      </c>
      <c r="I456" s="13">
        <v>100000</v>
      </c>
      <c r="J456" s="13">
        <f t="shared" si="25"/>
        <v>294645.86</v>
      </c>
      <c r="K456" s="13"/>
      <c r="L456" s="13"/>
      <c r="M456" s="13"/>
      <c r="N456" s="50"/>
      <c r="O456" s="50"/>
      <c r="P456" s="50"/>
      <c r="Q456" t="s">
        <v>42</v>
      </c>
    </row>
    <row r="457" spans="1:17" hidden="1">
      <c r="A457" s="52" t="s">
        <v>67</v>
      </c>
      <c r="B457" s="49" t="s">
        <v>532</v>
      </c>
      <c r="C457" t="s">
        <v>546</v>
      </c>
      <c r="D457" t="s">
        <v>9</v>
      </c>
      <c r="E457" s="13">
        <v>109681.08</v>
      </c>
      <c r="F457" s="13">
        <v>510711.93</v>
      </c>
      <c r="G457" s="13">
        <v>124800</v>
      </c>
      <c r="H457" s="13">
        <f t="shared" si="24"/>
        <v>745193.01</v>
      </c>
      <c r="I457" s="13">
        <v>129792</v>
      </c>
      <c r="J457" s="13">
        <f t="shared" si="25"/>
        <v>874985.01</v>
      </c>
      <c r="K457" s="13"/>
      <c r="L457" s="13"/>
      <c r="M457" s="13"/>
      <c r="N457" s="50"/>
      <c r="O457" s="50"/>
      <c r="P457" s="50"/>
      <c r="Q457" t="s">
        <v>48</v>
      </c>
    </row>
    <row r="458" spans="1:17" hidden="1">
      <c r="A458" s="52" t="s">
        <v>67</v>
      </c>
      <c r="B458" s="49" t="s">
        <v>532</v>
      </c>
      <c r="C458" t="s">
        <v>547</v>
      </c>
      <c r="D458" t="s">
        <v>9</v>
      </c>
      <c r="E458" s="13"/>
      <c r="F458" s="13">
        <v>105621.06</v>
      </c>
      <c r="G458" s="13">
        <v>90000</v>
      </c>
      <c r="H458" s="13">
        <f t="shared" si="24"/>
        <v>195621.06</v>
      </c>
      <c r="I458" s="13">
        <v>100000</v>
      </c>
      <c r="J458" s="13">
        <f t="shared" si="25"/>
        <v>295621.06</v>
      </c>
      <c r="K458" s="13"/>
      <c r="L458" s="13"/>
      <c r="M458" s="13"/>
      <c r="N458" s="50"/>
      <c r="O458" s="50"/>
      <c r="P458" s="50"/>
      <c r="Q458" t="s">
        <v>42</v>
      </c>
    </row>
    <row r="459" spans="1:17" hidden="1">
      <c r="A459" s="52" t="s">
        <v>67</v>
      </c>
      <c r="B459" s="49" t="s">
        <v>532</v>
      </c>
      <c r="C459" t="s">
        <v>548</v>
      </c>
      <c r="D459" t="s">
        <v>9</v>
      </c>
      <c r="E459" s="13"/>
      <c r="F459" s="13">
        <v>66141.929999999993</v>
      </c>
      <c r="G459" s="13">
        <v>291204</v>
      </c>
      <c r="H459" s="13">
        <f t="shared" si="24"/>
        <v>357345.93</v>
      </c>
      <c r="I459" s="13">
        <v>302844</v>
      </c>
      <c r="J459" s="13">
        <f t="shared" si="25"/>
        <v>660189.92999999993</v>
      </c>
      <c r="K459" s="13"/>
      <c r="L459" s="13"/>
      <c r="M459" s="13"/>
      <c r="N459" s="50"/>
      <c r="O459" s="50"/>
      <c r="P459" s="50"/>
      <c r="Q459" t="s">
        <v>42</v>
      </c>
    </row>
    <row r="460" spans="1:17" hidden="1">
      <c r="A460" s="52" t="s">
        <v>67</v>
      </c>
      <c r="B460" s="49" t="s">
        <v>532</v>
      </c>
      <c r="C460" t="s">
        <v>549</v>
      </c>
      <c r="D460" t="s">
        <v>9</v>
      </c>
      <c r="E460" s="13">
        <v>121866.93</v>
      </c>
      <c r="F460" s="13">
        <v>647657.93999999994</v>
      </c>
      <c r="G460" s="13">
        <v>291204</v>
      </c>
      <c r="H460" s="13">
        <f t="shared" si="24"/>
        <v>1060728.8699999999</v>
      </c>
      <c r="I460" s="13">
        <v>302844</v>
      </c>
      <c r="J460" s="13">
        <f t="shared" si="25"/>
        <v>1363572.8699999999</v>
      </c>
      <c r="K460" s="13"/>
      <c r="L460" s="13"/>
      <c r="M460" s="13"/>
      <c r="N460" s="50"/>
      <c r="O460" s="50"/>
      <c r="P460" s="50"/>
      <c r="Q460" t="s">
        <v>42</v>
      </c>
    </row>
    <row r="461" spans="1:17" hidden="1">
      <c r="A461" s="52" t="s">
        <v>67</v>
      </c>
      <c r="B461" s="49" t="s">
        <v>532</v>
      </c>
      <c r="C461" t="s">
        <v>550</v>
      </c>
      <c r="D461" t="s">
        <v>9</v>
      </c>
      <c r="E461" s="13">
        <v>221789.34000000005</v>
      </c>
      <c r="F461" s="13">
        <v>325644.95999999996</v>
      </c>
      <c r="G461" s="13">
        <v>291204</v>
      </c>
      <c r="H461" s="13">
        <f t="shared" si="24"/>
        <v>838638.3</v>
      </c>
      <c r="I461" s="13">
        <v>302844</v>
      </c>
      <c r="J461" s="13">
        <f t="shared" si="25"/>
        <v>1141482.3</v>
      </c>
      <c r="K461" s="13"/>
      <c r="L461" s="13"/>
      <c r="M461" s="13"/>
      <c r="N461" s="50"/>
      <c r="O461" s="50"/>
      <c r="P461" s="50"/>
      <c r="Q461" t="s">
        <v>42</v>
      </c>
    </row>
    <row r="462" spans="1:17" hidden="1">
      <c r="A462" s="52" t="s">
        <v>67</v>
      </c>
      <c r="B462" s="49" t="s">
        <v>532</v>
      </c>
      <c r="C462" t="s">
        <v>551</v>
      </c>
      <c r="D462" t="s">
        <v>9</v>
      </c>
      <c r="E462" s="13"/>
      <c r="F462" s="13">
        <v>126342.97999999997</v>
      </c>
      <c r="G462" s="13">
        <v>291204</v>
      </c>
      <c r="H462" s="13">
        <f t="shared" si="24"/>
        <v>417546.98</v>
      </c>
      <c r="I462" s="13">
        <v>302844</v>
      </c>
      <c r="J462" s="13">
        <f t="shared" si="25"/>
        <v>720390.98</v>
      </c>
      <c r="K462" s="13"/>
      <c r="L462" s="13"/>
      <c r="M462" s="13"/>
      <c r="N462" s="50"/>
      <c r="O462" s="50"/>
      <c r="P462" s="50"/>
      <c r="Q462" t="s">
        <v>42</v>
      </c>
    </row>
    <row r="463" spans="1:17" hidden="1">
      <c r="A463" s="52" t="s">
        <v>67</v>
      </c>
      <c r="B463" s="49" t="s">
        <v>532</v>
      </c>
      <c r="C463" t="s">
        <v>552</v>
      </c>
      <c r="D463" t="s">
        <v>9</v>
      </c>
      <c r="E463" s="13"/>
      <c r="F463" s="13">
        <v>69181.45</v>
      </c>
      <c r="G463" s="13">
        <v>236853.45</v>
      </c>
      <c r="H463" s="13">
        <f t="shared" si="24"/>
        <v>306034.90000000002</v>
      </c>
      <c r="I463" s="13"/>
      <c r="J463" s="13">
        <f t="shared" si="25"/>
        <v>306034.90000000002</v>
      </c>
      <c r="K463" s="13"/>
      <c r="L463" s="13"/>
      <c r="M463" s="13"/>
      <c r="N463" s="50"/>
      <c r="O463" s="50"/>
      <c r="P463" s="50"/>
      <c r="Q463" t="s">
        <v>43</v>
      </c>
    </row>
    <row r="464" spans="1:17" hidden="1">
      <c r="A464" s="52" t="s">
        <v>67</v>
      </c>
      <c r="B464" s="49" t="s">
        <v>532</v>
      </c>
      <c r="C464" t="s">
        <v>553</v>
      </c>
      <c r="D464" t="s">
        <v>9</v>
      </c>
      <c r="E464" s="13"/>
      <c r="F464" s="13">
        <v>49496.090000000018</v>
      </c>
      <c r="G464" s="13">
        <v>205440</v>
      </c>
      <c r="H464" s="13">
        <f t="shared" si="24"/>
        <v>254936.09000000003</v>
      </c>
      <c r="I464" s="13">
        <v>213660</v>
      </c>
      <c r="J464" s="13">
        <f t="shared" si="25"/>
        <v>468596.09</v>
      </c>
      <c r="K464" s="13"/>
      <c r="L464" s="13"/>
      <c r="M464" s="13"/>
      <c r="N464" s="50"/>
      <c r="O464" s="50"/>
      <c r="P464" s="50"/>
      <c r="Q464" t="s">
        <v>42</v>
      </c>
    </row>
    <row r="465" spans="1:17" hidden="1">
      <c r="A465" s="52" t="s">
        <v>67</v>
      </c>
      <c r="B465" s="49" t="s">
        <v>532</v>
      </c>
      <c r="C465" t="s">
        <v>554</v>
      </c>
      <c r="D465" t="s">
        <v>9</v>
      </c>
      <c r="E465" s="13"/>
      <c r="F465" s="13">
        <v>69181.45</v>
      </c>
      <c r="G465" s="13">
        <v>236853.45</v>
      </c>
      <c r="H465" s="13">
        <f t="shared" si="24"/>
        <v>306034.90000000002</v>
      </c>
      <c r="I465" s="13"/>
      <c r="J465" s="13">
        <f t="shared" si="25"/>
        <v>306034.90000000002</v>
      </c>
      <c r="K465" s="13"/>
      <c r="L465" s="13"/>
      <c r="M465" s="13"/>
      <c r="N465" s="50"/>
      <c r="O465" s="50"/>
      <c r="P465" s="50"/>
      <c r="Q465" t="s">
        <v>43</v>
      </c>
    </row>
    <row r="466" spans="1:17" hidden="1">
      <c r="A466" s="52" t="s">
        <v>67</v>
      </c>
      <c r="B466" s="49" t="s">
        <v>532</v>
      </c>
      <c r="C466" t="s">
        <v>555</v>
      </c>
      <c r="D466" t="s">
        <v>9</v>
      </c>
      <c r="E466" s="13">
        <v>127599.11999999992</v>
      </c>
      <c r="F466" s="13">
        <v>288499.63</v>
      </c>
      <c r="G466" s="13">
        <v>275604</v>
      </c>
      <c r="H466" s="13">
        <f t="shared" si="24"/>
        <v>691702.75</v>
      </c>
      <c r="I466" s="13">
        <v>286620</v>
      </c>
      <c r="J466" s="13">
        <f t="shared" si="25"/>
        <v>978322.75</v>
      </c>
      <c r="K466" s="13"/>
      <c r="L466" s="13"/>
      <c r="M466" s="13"/>
      <c r="N466" s="50"/>
      <c r="O466" s="50"/>
      <c r="P466" s="50"/>
      <c r="Q466" t="s">
        <v>48</v>
      </c>
    </row>
    <row r="467" spans="1:17" hidden="1">
      <c r="A467" s="52" t="s">
        <v>67</v>
      </c>
      <c r="B467" s="49" t="s">
        <v>532</v>
      </c>
      <c r="C467" t="s">
        <v>556</v>
      </c>
      <c r="D467" t="s">
        <v>9</v>
      </c>
      <c r="E467" s="13">
        <v>484849.52</v>
      </c>
      <c r="F467" s="13"/>
      <c r="G467" s="13"/>
      <c r="H467" s="13">
        <f t="shared" si="24"/>
        <v>484849.52</v>
      </c>
      <c r="I467" s="13"/>
      <c r="J467" s="13">
        <f t="shared" si="25"/>
        <v>484849.52</v>
      </c>
      <c r="K467" s="13"/>
      <c r="L467" s="13"/>
      <c r="M467" s="13"/>
      <c r="N467" s="50"/>
      <c r="O467" s="50"/>
      <c r="P467" s="50"/>
      <c r="Q467" t="s">
        <v>48</v>
      </c>
    </row>
    <row r="468" spans="1:17" hidden="1">
      <c r="A468" s="52" t="s">
        <v>67</v>
      </c>
      <c r="B468" s="49" t="s">
        <v>532</v>
      </c>
      <c r="C468" t="s">
        <v>557</v>
      </c>
      <c r="D468" t="s">
        <v>9</v>
      </c>
      <c r="E468" s="13">
        <v>483790.85</v>
      </c>
      <c r="F468" s="13">
        <v>253807.94999999998</v>
      </c>
      <c r="G468" s="13">
        <v>218400</v>
      </c>
      <c r="H468" s="13">
        <f t="shared" si="24"/>
        <v>955998.79999999993</v>
      </c>
      <c r="I468" s="13">
        <v>227136</v>
      </c>
      <c r="J468" s="13">
        <f t="shared" si="25"/>
        <v>1183134.7999999998</v>
      </c>
      <c r="K468" s="13"/>
      <c r="L468" s="13"/>
      <c r="M468" s="13"/>
      <c r="N468" s="50"/>
      <c r="O468" s="50"/>
      <c r="P468" s="50"/>
      <c r="Q468" t="s">
        <v>48</v>
      </c>
    </row>
    <row r="469" spans="1:17" hidden="1">
      <c r="A469" s="52" t="s">
        <v>67</v>
      </c>
      <c r="B469" s="49" t="s">
        <v>532</v>
      </c>
      <c r="C469" t="s">
        <v>558</v>
      </c>
      <c r="D469" t="s">
        <v>9</v>
      </c>
      <c r="E469" s="13"/>
      <c r="F469" s="13"/>
      <c r="G469" s="13">
        <v>120000</v>
      </c>
      <c r="H469" s="13">
        <f t="shared" si="24"/>
        <v>120000</v>
      </c>
      <c r="I469" s="13">
        <v>120000</v>
      </c>
      <c r="J469" s="13">
        <f t="shared" si="25"/>
        <v>240000</v>
      </c>
      <c r="K469" s="13"/>
      <c r="L469" s="13"/>
      <c r="M469" s="13"/>
      <c r="N469" s="50"/>
      <c r="O469" s="50"/>
      <c r="P469" s="50"/>
      <c r="Q469" t="s">
        <v>48</v>
      </c>
    </row>
    <row r="470" spans="1:17" hidden="1">
      <c r="A470" s="53" t="s">
        <v>67</v>
      </c>
      <c r="B470" s="54" t="s">
        <v>532</v>
      </c>
      <c r="C470" s="9" t="s">
        <v>559</v>
      </c>
      <c r="D470" t="s">
        <v>9</v>
      </c>
      <c r="E470" s="13">
        <v>766797.33999999973</v>
      </c>
      <c r="F470" s="13">
        <v>2212711.87</v>
      </c>
      <c r="G470" s="45">
        <v>909440</v>
      </c>
      <c r="H470" s="13">
        <f t="shared" si="24"/>
        <v>3888949.21</v>
      </c>
      <c r="I470" s="45"/>
      <c r="J470" s="13">
        <f t="shared" si="25"/>
        <v>3888949.21</v>
      </c>
      <c r="K470" s="13"/>
      <c r="L470" s="13"/>
      <c r="M470" s="13"/>
      <c r="N470" s="50"/>
      <c r="O470" s="50"/>
      <c r="P470" s="50"/>
      <c r="Q470" t="s">
        <v>48</v>
      </c>
    </row>
    <row r="471" spans="1:17" hidden="1">
      <c r="A471" s="52" t="s">
        <v>67</v>
      </c>
      <c r="B471" s="49" t="s">
        <v>532</v>
      </c>
      <c r="C471" t="s">
        <v>560</v>
      </c>
      <c r="D471" t="s">
        <v>9</v>
      </c>
      <c r="E471" s="13"/>
      <c r="F471" s="13">
        <v>19563.810000000001</v>
      </c>
      <c r="G471" s="13"/>
      <c r="H471" s="13">
        <f t="shared" si="24"/>
        <v>19563.810000000001</v>
      </c>
      <c r="I471" s="13"/>
      <c r="J471" s="13">
        <f t="shared" si="25"/>
        <v>19563.810000000001</v>
      </c>
      <c r="K471" s="13"/>
      <c r="L471" s="13"/>
      <c r="M471" s="13"/>
      <c r="N471" s="50"/>
      <c r="O471" s="50"/>
      <c r="P471" s="50"/>
      <c r="Q471" s="9" t="s">
        <v>48</v>
      </c>
    </row>
    <row r="472" spans="1:17" hidden="1">
      <c r="A472" s="52" t="s">
        <v>67</v>
      </c>
      <c r="B472" s="49" t="s">
        <v>532</v>
      </c>
      <c r="C472" t="s">
        <v>561</v>
      </c>
      <c r="D472" t="s">
        <v>9</v>
      </c>
      <c r="E472" s="13">
        <v>17088.579999999998</v>
      </c>
      <c r="F472" s="13">
        <v>304694.71000000002</v>
      </c>
      <c r="G472" s="13">
        <v>296400</v>
      </c>
      <c r="H472" s="13">
        <f t="shared" si="24"/>
        <v>618183.29</v>
      </c>
      <c r="I472" s="13">
        <v>308256</v>
      </c>
      <c r="J472" s="13">
        <f t="shared" si="25"/>
        <v>926439.29</v>
      </c>
      <c r="K472" s="13"/>
      <c r="L472" s="13"/>
      <c r="M472" s="13"/>
      <c r="N472" s="50"/>
      <c r="O472" s="50"/>
      <c r="P472" s="50"/>
      <c r="Q472" t="s">
        <v>42</v>
      </c>
    </row>
    <row r="473" spans="1:17" hidden="1">
      <c r="A473" s="52" t="s">
        <v>67</v>
      </c>
      <c r="B473" s="49" t="s">
        <v>532</v>
      </c>
      <c r="C473" t="s">
        <v>562</v>
      </c>
      <c r="D473" t="s">
        <v>9</v>
      </c>
      <c r="E473" s="13">
        <v>92819.19</v>
      </c>
      <c r="F473" s="13">
        <v>54924.82</v>
      </c>
      <c r="G473" s="13">
        <v>291204</v>
      </c>
      <c r="H473" s="13">
        <f t="shared" si="24"/>
        <v>438948.01</v>
      </c>
      <c r="I473" s="13">
        <v>302844</v>
      </c>
      <c r="J473" s="13">
        <f t="shared" si="25"/>
        <v>741792.01</v>
      </c>
      <c r="K473" s="13"/>
      <c r="L473" s="13"/>
      <c r="M473" s="13"/>
      <c r="N473" s="50"/>
      <c r="O473" s="50"/>
      <c r="P473" s="50"/>
      <c r="Q473" t="s">
        <v>42</v>
      </c>
    </row>
    <row r="474" spans="1:17" hidden="1">
      <c r="A474" t="s">
        <v>55</v>
      </c>
      <c r="B474" t="s">
        <v>73</v>
      </c>
      <c r="C474" t="s">
        <v>563</v>
      </c>
      <c r="D474" t="s">
        <v>47</v>
      </c>
      <c r="E474" s="13">
        <v>30682622.580000002</v>
      </c>
      <c r="F474" s="13">
        <v>5192723.4400000013</v>
      </c>
      <c r="G474" s="13"/>
      <c r="H474" s="13">
        <f t="shared" si="24"/>
        <v>35875346.020000003</v>
      </c>
      <c r="I474" s="13"/>
      <c r="J474" s="13">
        <f t="shared" si="25"/>
        <v>35875346.020000003</v>
      </c>
      <c r="K474" s="13"/>
      <c r="L474" s="13"/>
      <c r="M474" s="13"/>
      <c r="N474" s="13"/>
      <c r="O474" s="13"/>
      <c r="P474" s="13"/>
      <c r="Q474" t="s">
        <v>40</v>
      </c>
    </row>
    <row r="475" spans="1:17" hidden="1">
      <c r="A475" t="s">
        <v>55</v>
      </c>
      <c r="B475" t="s">
        <v>73</v>
      </c>
      <c r="C475" t="s">
        <v>564</v>
      </c>
      <c r="D475" t="s">
        <v>47</v>
      </c>
      <c r="E475" s="13">
        <v>4404196.5899999989</v>
      </c>
      <c r="F475" s="13">
        <v>455228.38</v>
      </c>
      <c r="G475" s="13"/>
      <c r="H475" s="13">
        <f t="shared" si="24"/>
        <v>4859424.9699999988</v>
      </c>
      <c r="I475" s="13"/>
      <c r="J475" s="13">
        <f t="shared" si="25"/>
        <v>4859424.9699999988</v>
      </c>
      <c r="K475" s="13"/>
      <c r="L475" s="13"/>
      <c r="M475" s="13"/>
      <c r="N475" s="13"/>
      <c r="O475" s="13"/>
      <c r="P475" s="13"/>
      <c r="Q475" t="s">
        <v>40</v>
      </c>
    </row>
    <row r="476" spans="1:17" hidden="1">
      <c r="A476" t="s">
        <v>55</v>
      </c>
      <c r="B476" t="s">
        <v>73</v>
      </c>
      <c r="C476" t="s">
        <v>565</v>
      </c>
      <c r="D476" t="s">
        <v>47</v>
      </c>
      <c r="E476" s="13">
        <v>46268460.630000003</v>
      </c>
      <c r="F476" s="13">
        <v>1258772.1299999997</v>
      </c>
      <c r="G476" s="13"/>
      <c r="H476" s="13">
        <f t="shared" si="24"/>
        <v>47527232.760000005</v>
      </c>
      <c r="I476" s="13"/>
      <c r="J476" s="13">
        <f t="shared" si="25"/>
        <v>47527232.760000005</v>
      </c>
      <c r="K476" s="13"/>
      <c r="L476" s="13"/>
      <c r="M476" s="13">
        <v>0</v>
      </c>
      <c r="N476" s="13"/>
      <c r="O476" s="13"/>
      <c r="P476" s="13"/>
      <c r="Q476" t="s">
        <v>40</v>
      </c>
    </row>
    <row r="477" spans="1:17" hidden="1">
      <c r="A477" t="s">
        <v>55</v>
      </c>
      <c r="B477" t="s">
        <v>74</v>
      </c>
      <c r="C477" t="s">
        <v>56</v>
      </c>
      <c r="D477" t="s">
        <v>9</v>
      </c>
      <c r="E477" s="13">
        <v>1018042.6799999999</v>
      </c>
      <c r="F477" s="13">
        <v>-54968.110000000052</v>
      </c>
      <c r="G477" s="13">
        <v>1689859</v>
      </c>
      <c r="H477" s="13">
        <f t="shared" si="24"/>
        <v>2652933.5699999998</v>
      </c>
      <c r="I477" s="13">
        <v>1574086</v>
      </c>
      <c r="J477" s="13">
        <f t="shared" si="25"/>
        <v>4227019.57</v>
      </c>
      <c r="K477" s="13"/>
      <c r="L477" s="13"/>
      <c r="M477" s="13"/>
      <c r="N477" s="13"/>
      <c r="O477" s="13"/>
      <c r="P477" s="13"/>
      <c r="Q477" t="s">
        <v>21</v>
      </c>
    </row>
    <row r="478" spans="1:17" hidden="1">
      <c r="A478" t="s">
        <v>55</v>
      </c>
      <c r="B478" t="s">
        <v>74</v>
      </c>
      <c r="C478" t="s">
        <v>58</v>
      </c>
      <c r="D478" t="s">
        <v>9</v>
      </c>
      <c r="E478" s="13">
        <v>380272.03</v>
      </c>
      <c r="F478" s="13">
        <v>-213699.17</v>
      </c>
      <c r="G478" s="13"/>
      <c r="H478" s="13">
        <f t="shared" si="24"/>
        <v>166572.86000000002</v>
      </c>
      <c r="I478" s="13"/>
      <c r="J478" s="13">
        <f t="shared" si="25"/>
        <v>166572.86000000002</v>
      </c>
      <c r="K478" s="13"/>
      <c r="L478" s="13"/>
      <c r="M478" s="13"/>
      <c r="N478" s="13"/>
      <c r="O478" s="13"/>
      <c r="P478" s="13"/>
      <c r="Q478" t="s">
        <v>21</v>
      </c>
    </row>
    <row r="479" spans="1:17" hidden="1">
      <c r="A479" t="s">
        <v>55</v>
      </c>
      <c r="B479" t="s">
        <v>74</v>
      </c>
      <c r="C479" s="55" t="s">
        <v>59</v>
      </c>
      <c r="D479" t="s">
        <v>9</v>
      </c>
      <c r="E479" s="56"/>
      <c r="F479" s="56"/>
      <c r="G479" s="56">
        <v>6224627</v>
      </c>
      <c r="H479" s="13">
        <f t="shared" si="24"/>
        <v>6224627</v>
      </c>
      <c r="I479" s="56">
        <v>11931546</v>
      </c>
      <c r="J479" s="13">
        <f t="shared" si="25"/>
        <v>18156173</v>
      </c>
      <c r="K479" s="13"/>
      <c r="L479" s="13"/>
      <c r="M479" s="56"/>
      <c r="N479" s="56"/>
      <c r="O479" s="56"/>
      <c r="P479" s="56"/>
      <c r="Q479" t="s">
        <v>21</v>
      </c>
    </row>
    <row r="480" spans="1:17" hidden="1">
      <c r="A480" t="s">
        <v>55</v>
      </c>
      <c r="B480" t="s">
        <v>74</v>
      </c>
      <c r="C480" t="s">
        <v>566</v>
      </c>
      <c r="D480" t="s">
        <v>9</v>
      </c>
      <c r="E480" s="13"/>
      <c r="F480" s="13">
        <v>358879.99</v>
      </c>
      <c r="G480" s="13">
        <v>500000</v>
      </c>
      <c r="H480" s="13">
        <f t="shared" si="24"/>
        <v>858879.99</v>
      </c>
      <c r="I480" s="13">
        <v>500000</v>
      </c>
      <c r="J480" s="13">
        <f t="shared" si="25"/>
        <v>1358879.99</v>
      </c>
      <c r="K480" s="13"/>
      <c r="L480" s="13"/>
      <c r="M480" s="13"/>
      <c r="N480" s="13"/>
      <c r="O480" s="13"/>
      <c r="P480" s="13"/>
      <c r="Q480" t="s">
        <v>42</v>
      </c>
    </row>
    <row r="481" spans="1:19" hidden="1">
      <c r="A481" t="s">
        <v>55</v>
      </c>
      <c r="B481" t="s">
        <v>74</v>
      </c>
      <c r="C481" t="s">
        <v>60</v>
      </c>
      <c r="D481" t="s">
        <v>9</v>
      </c>
      <c r="E481" s="13">
        <v>322973.36</v>
      </c>
      <c r="F481" s="13">
        <v>32925.800000000039</v>
      </c>
      <c r="G481" s="13"/>
      <c r="H481" s="13">
        <f t="shared" si="24"/>
        <v>355899.16000000003</v>
      </c>
      <c r="I481" s="13"/>
      <c r="J481" s="13">
        <f t="shared" si="25"/>
        <v>355899.16000000003</v>
      </c>
      <c r="K481" s="13"/>
      <c r="L481" s="13"/>
      <c r="M481" s="13"/>
      <c r="N481" s="13"/>
      <c r="O481" s="13"/>
      <c r="P481" s="13"/>
      <c r="Q481" t="s">
        <v>21</v>
      </c>
    </row>
    <row r="482" spans="1:19" hidden="1">
      <c r="A482" t="s">
        <v>55</v>
      </c>
      <c r="B482" s="55" t="s">
        <v>74</v>
      </c>
      <c r="C482" s="55" t="s">
        <v>567</v>
      </c>
      <c r="D482" t="s">
        <v>47</v>
      </c>
      <c r="E482" s="56"/>
      <c r="F482" s="56">
        <v>1503.81</v>
      </c>
      <c r="G482" s="56">
        <v>269000</v>
      </c>
      <c r="H482" s="13">
        <f t="shared" si="24"/>
        <v>270503.81</v>
      </c>
      <c r="I482" s="56">
        <v>132000</v>
      </c>
      <c r="J482" s="13">
        <f t="shared" si="25"/>
        <v>402503.81</v>
      </c>
      <c r="K482" s="13"/>
      <c r="L482" s="13"/>
      <c r="M482" s="56"/>
      <c r="N482" s="56"/>
      <c r="O482" s="56"/>
      <c r="P482" s="56"/>
      <c r="Q482" t="s">
        <v>20</v>
      </c>
    </row>
    <row r="483" spans="1:19" hidden="1">
      <c r="A483" t="s">
        <v>55</v>
      </c>
      <c r="B483" t="s">
        <v>74</v>
      </c>
      <c r="C483" t="s">
        <v>568</v>
      </c>
      <c r="D483" t="s">
        <v>87</v>
      </c>
      <c r="E483" s="13"/>
      <c r="F483" s="13"/>
      <c r="G483" s="13">
        <v>378250</v>
      </c>
      <c r="H483" s="13">
        <f t="shared" si="24"/>
        <v>378250</v>
      </c>
      <c r="I483" s="13">
        <v>215750</v>
      </c>
      <c r="J483" s="13">
        <f t="shared" si="25"/>
        <v>594000</v>
      </c>
      <c r="K483" s="13"/>
      <c r="L483" s="13">
        <f>+K483+J483</f>
        <v>594000</v>
      </c>
      <c r="M483" s="50"/>
      <c r="N483" s="50"/>
      <c r="O483" s="56"/>
      <c r="P483" s="56">
        <f>+SUM(M483:O483)</f>
        <v>0</v>
      </c>
      <c r="Q483" t="s">
        <v>20</v>
      </c>
      <c r="S483" s="13"/>
    </row>
    <row r="484" spans="1:19" hidden="1">
      <c r="A484" t="s">
        <v>55</v>
      </c>
      <c r="B484" t="s">
        <v>74</v>
      </c>
      <c r="C484" t="s">
        <v>569</v>
      </c>
      <c r="D484" t="s">
        <v>87</v>
      </c>
      <c r="E484" s="13"/>
      <c r="F484" s="13">
        <v>266.79000000000002</v>
      </c>
      <c r="G484" s="13">
        <v>201000</v>
      </c>
      <c r="H484" s="13">
        <f t="shared" si="24"/>
        <v>201266.79</v>
      </c>
      <c r="I484" s="13">
        <v>93000</v>
      </c>
      <c r="J484" s="13">
        <f t="shared" si="25"/>
        <v>294266.79000000004</v>
      </c>
      <c r="K484" s="13"/>
      <c r="L484" s="13">
        <f>+K484+J484</f>
        <v>294266.79000000004</v>
      </c>
      <c r="M484" s="56"/>
      <c r="N484" s="56"/>
      <c r="O484" s="56"/>
      <c r="P484" s="56">
        <f>+SUM(M484:O484)</f>
        <v>0</v>
      </c>
      <c r="Q484" t="s">
        <v>20</v>
      </c>
      <c r="S484" s="13">
        <f>+P484-L484</f>
        <v>-294266.79000000004</v>
      </c>
    </row>
    <row r="485" spans="1:19" hidden="1">
      <c r="A485" s="61" t="s">
        <v>55</v>
      </c>
      <c r="B485" s="61" t="s">
        <v>74</v>
      </c>
      <c r="C485" s="61" t="s">
        <v>570</v>
      </c>
      <c r="D485" s="61" t="s">
        <v>47</v>
      </c>
      <c r="E485" s="66"/>
      <c r="F485" s="66">
        <v>7171.6100000000015</v>
      </c>
      <c r="G485" s="66">
        <v>300000</v>
      </c>
      <c r="H485" s="66">
        <f t="shared" si="24"/>
        <v>307171.61</v>
      </c>
      <c r="I485" s="66"/>
      <c r="J485" s="66">
        <f t="shared" si="25"/>
        <v>307171.61</v>
      </c>
      <c r="K485" s="13"/>
      <c r="L485" s="13"/>
      <c r="M485" s="56"/>
      <c r="N485" s="56"/>
      <c r="O485" s="56"/>
      <c r="P485" s="56"/>
      <c r="Q485" t="s">
        <v>20</v>
      </c>
    </row>
    <row r="486" spans="1:19" hidden="1">
      <c r="A486" t="s">
        <v>55</v>
      </c>
      <c r="B486" s="55" t="s">
        <v>74</v>
      </c>
      <c r="C486" s="55" t="s">
        <v>571</v>
      </c>
      <c r="D486" t="s">
        <v>47</v>
      </c>
      <c r="E486" s="56"/>
      <c r="F486" s="56"/>
      <c r="G486" s="56">
        <v>7821956.04</v>
      </c>
      <c r="H486" s="13">
        <f t="shared" si="24"/>
        <v>7821956.04</v>
      </c>
      <c r="I486" s="56"/>
      <c r="J486" s="13">
        <f t="shared" si="25"/>
        <v>7821956.04</v>
      </c>
      <c r="K486" s="13"/>
      <c r="L486" s="13"/>
      <c r="M486" s="56"/>
      <c r="N486" s="56"/>
      <c r="O486" s="56"/>
      <c r="P486" s="56"/>
      <c r="Q486" t="s">
        <v>20</v>
      </c>
    </row>
    <row r="487" spans="1:19" hidden="1">
      <c r="A487" s="52" t="s">
        <v>55</v>
      </c>
      <c r="B487" t="s">
        <v>74</v>
      </c>
      <c r="C487" t="s">
        <v>572</v>
      </c>
      <c r="D487" t="s">
        <v>87</v>
      </c>
      <c r="H487" s="13">
        <f t="shared" si="24"/>
        <v>0</v>
      </c>
      <c r="J487" s="13">
        <f t="shared" si="25"/>
        <v>0</v>
      </c>
      <c r="K487" s="13"/>
      <c r="L487" s="13">
        <f>+K487+J487</f>
        <v>0</v>
      </c>
      <c r="M487" s="50">
        <v>38520752</v>
      </c>
      <c r="N487" s="50">
        <v>18552321</v>
      </c>
      <c r="O487" s="50"/>
      <c r="P487" s="50">
        <f>+SUM(M487:O487)</f>
        <v>57073073</v>
      </c>
      <c r="Q487" t="s">
        <v>20</v>
      </c>
    </row>
    <row r="488" spans="1:19" hidden="1">
      <c r="A488" s="52" t="s">
        <v>55</v>
      </c>
      <c r="B488" t="s">
        <v>74</v>
      </c>
      <c r="C488" t="s">
        <v>573</v>
      </c>
      <c r="D488" t="s">
        <v>87</v>
      </c>
      <c r="H488" s="13">
        <f t="shared" si="24"/>
        <v>0</v>
      </c>
      <c r="J488" s="13">
        <f t="shared" si="25"/>
        <v>0</v>
      </c>
      <c r="K488" s="13"/>
      <c r="L488" s="13">
        <f>+K488+J488</f>
        <v>0</v>
      </c>
      <c r="M488" s="50">
        <v>20819332</v>
      </c>
      <c r="N488" s="50">
        <v>11688818</v>
      </c>
      <c r="O488" s="50"/>
      <c r="P488" s="50">
        <f>+SUM(M488:O488)</f>
        <v>32508150</v>
      </c>
      <c r="Q488" t="s">
        <v>20</v>
      </c>
    </row>
    <row r="489" spans="1:19" hidden="1">
      <c r="A489" s="52" t="s">
        <v>55</v>
      </c>
      <c r="B489" t="s">
        <v>74</v>
      </c>
      <c r="C489" t="s">
        <v>574</v>
      </c>
      <c r="D489" t="s">
        <v>87</v>
      </c>
      <c r="H489" s="13">
        <f t="shared" si="24"/>
        <v>0</v>
      </c>
      <c r="J489" s="13">
        <f t="shared" si="25"/>
        <v>0</v>
      </c>
      <c r="K489" s="13">
        <v>125000000</v>
      </c>
      <c r="L489" s="13">
        <f>+K489+J489</f>
        <v>125000000</v>
      </c>
      <c r="M489" s="50">
        <v>41633592</v>
      </c>
      <c r="N489" s="50">
        <v>11295011</v>
      </c>
      <c r="O489" s="50"/>
      <c r="P489" s="50">
        <f>+SUM(M489:O489)</f>
        <v>52928603</v>
      </c>
      <c r="Q489" t="s">
        <v>20</v>
      </c>
    </row>
    <row r="490" spans="1:19" hidden="1">
      <c r="A490" s="52" t="s">
        <v>55</v>
      </c>
      <c r="B490" t="s">
        <v>74</v>
      </c>
      <c r="C490" t="s">
        <v>575</v>
      </c>
      <c r="D490" t="s">
        <v>87</v>
      </c>
      <c r="H490" s="13">
        <f t="shared" si="24"/>
        <v>0</v>
      </c>
      <c r="J490" s="13">
        <f t="shared" si="25"/>
        <v>0</v>
      </c>
      <c r="K490" s="13"/>
      <c r="L490" s="13">
        <f>+K490+J490</f>
        <v>0</v>
      </c>
      <c r="M490" s="50">
        <v>371897</v>
      </c>
      <c r="N490" s="50">
        <v>4462761</v>
      </c>
      <c r="O490" s="50">
        <v>0</v>
      </c>
      <c r="P490" s="50">
        <f>+SUM(M490:O490)</f>
        <v>4834658</v>
      </c>
      <c r="Q490" t="s">
        <v>20</v>
      </c>
      <c r="S490" s="13"/>
    </row>
    <row r="491" spans="1:19" hidden="1">
      <c r="A491" t="s">
        <v>55</v>
      </c>
      <c r="B491" t="s">
        <v>74</v>
      </c>
      <c r="C491" t="s">
        <v>62</v>
      </c>
      <c r="D491" t="s">
        <v>9</v>
      </c>
      <c r="E491" s="13">
        <v>-2279.4199999999996</v>
      </c>
      <c r="F491" s="13">
        <v>28376.05</v>
      </c>
      <c r="G491" s="13"/>
      <c r="H491" s="13">
        <f t="shared" si="24"/>
        <v>26096.63</v>
      </c>
      <c r="I491" s="13"/>
      <c r="J491" s="13">
        <f t="shared" si="25"/>
        <v>26096.63</v>
      </c>
      <c r="K491" s="13"/>
      <c r="L491" s="13"/>
      <c r="M491" s="13"/>
      <c r="N491" s="13"/>
      <c r="O491" s="13"/>
      <c r="P491" s="13"/>
      <c r="Q491" t="s">
        <v>21</v>
      </c>
    </row>
    <row r="492" spans="1:19" hidden="1">
      <c r="A492" t="s">
        <v>55</v>
      </c>
      <c r="B492" t="s">
        <v>74</v>
      </c>
      <c r="C492" t="s">
        <v>64</v>
      </c>
      <c r="D492" t="s">
        <v>9</v>
      </c>
      <c r="E492" s="13">
        <v>10966.76</v>
      </c>
      <c r="F492" s="13">
        <v>33910.170000000006</v>
      </c>
      <c r="G492" s="13"/>
      <c r="H492" s="13">
        <f t="shared" si="24"/>
        <v>44876.930000000008</v>
      </c>
      <c r="I492" s="13">
        <v>2800000</v>
      </c>
      <c r="J492" s="13">
        <f t="shared" si="25"/>
        <v>2844876.93</v>
      </c>
      <c r="K492" s="13"/>
      <c r="L492" s="13"/>
      <c r="M492" s="13"/>
      <c r="N492" s="13"/>
      <c r="O492" s="13"/>
      <c r="P492" s="13"/>
      <c r="Q492" t="s">
        <v>21</v>
      </c>
    </row>
    <row r="493" spans="1:19" hidden="1">
      <c r="A493" t="s">
        <v>55</v>
      </c>
      <c r="B493" t="s">
        <v>74</v>
      </c>
      <c r="C493" t="s">
        <v>576</v>
      </c>
      <c r="D493" t="s">
        <v>87</v>
      </c>
      <c r="E493" s="13"/>
      <c r="F493" s="13">
        <v>7109985.379999999</v>
      </c>
      <c r="G493" s="13">
        <v>34330719.520000003</v>
      </c>
      <c r="H493" s="13">
        <f t="shared" si="24"/>
        <v>41440704.900000006</v>
      </c>
      <c r="I493" s="13">
        <v>13016790.43</v>
      </c>
      <c r="J493" s="13">
        <f t="shared" si="25"/>
        <v>54457495.330000006</v>
      </c>
      <c r="K493" s="13"/>
      <c r="L493" s="13">
        <f>+K493+J493</f>
        <v>54457495.330000006</v>
      </c>
      <c r="M493" s="50"/>
      <c r="N493" s="50"/>
      <c r="O493" s="56"/>
      <c r="P493" s="56">
        <f>+SUM(M493:O493)</f>
        <v>0</v>
      </c>
      <c r="Q493" t="s">
        <v>20</v>
      </c>
      <c r="S493" s="13"/>
    </row>
    <row r="494" spans="1:19" hidden="1">
      <c r="A494" t="s">
        <v>55</v>
      </c>
      <c r="B494" t="s">
        <v>74</v>
      </c>
      <c r="C494" t="s">
        <v>577</v>
      </c>
      <c r="D494" t="s">
        <v>87</v>
      </c>
      <c r="E494" s="13"/>
      <c r="F494" s="13">
        <v>3669206.4600000004</v>
      </c>
      <c r="G494" s="13">
        <v>19180354.510000002</v>
      </c>
      <c r="H494" s="13">
        <f t="shared" si="24"/>
        <v>22849560.970000003</v>
      </c>
      <c r="I494" s="13">
        <v>8183172.2400000002</v>
      </c>
      <c r="J494" s="13">
        <f t="shared" si="25"/>
        <v>31032733.210000001</v>
      </c>
      <c r="K494" s="13"/>
      <c r="L494" s="13">
        <f>+K494+J494</f>
        <v>31032733.210000001</v>
      </c>
      <c r="M494" s="50"/>
      <c r="N494" s="50"/>
      <c r="O494" s="56"/>
      <c r="P494" s="56">
        <f>+SUM(M494:O494)</f>
        <v>0</v>
      </c>
      <c r="Q494" t="s">
        <v>20</v>
      </c>
      <c r="S494" s="13"/>
    </row>
    <row r="495" spans="1:19" hidden="1">
      <c r="A495" s="9" t="s">
        <v>55</v>
      </c>
      <c r="B495" s="9" t="s">
        <v>74</v>
      </c>
      <c r="C495" s="9" t="s">
        <v>578</v>
      </c>
      <c r="D495" t="s">
        <v>579</v>
      </c>
      <c r="E495" s="56"/>
      <c r="F495" s="56"/>
      <c r="G495" s="57">
        <v>611610</v>
      </c>
      <c r="H495" s="13">
        <f t="shared" si="24"/>
        <v>611610</v>
      </c>
      <c r="I495" s="57">
        <v>42595277.039999999</v>
      </c>
      <c r="J495" s="13">
        <f t="shared" si="25"/>
        <v>43206887.039999999</v>
      </c>
      <c r="K495" s="13"/>
      <c r="L495" s="13"/>
      <c r="M495" s="56"/>
      <c r="N495" s="56"/>
      <c r="O495" s="56"/>
      <c r="P495" s="56"/>
      <c r="Q495" s="58" t="s">
        <v>50</v>
      </c>
    </row>
    <row r="496" spans="1:19" hidden="1">
      <c r="A496" t="s">
        <v>55</v>
      </c>
      <c r="B496" t="s">
        <v>74</v>
      </c>
      <c r="C496" t="s">
        <v>580</v>
      </c>
      <c r="D496" t="s">
        <v>87</v>
      </c>
      <c r="E496" s="13"/>
      <c r="F496" s="13">
        <v>5950782.6099999994</v>
      </c>
      <c r="G496" s="13">
        <v>30238333.739999998</v>
      </c>
      <c r="H496" s="13">
        <f t="shared" si="24"/>
        <v>36189116.349999994</v>
      </c>
      <c r="I496" s="13">
        <v>14519883.65</v>
      </c>
      <c r="J496" s="13">
        <f t="shared" si="25"/>
        <v>50708999.999999993</v>
      </c>
      <c r="K496" s="13"/>
      <c r="L496" s="13">
        <f>+K496+J496</f>
        <v>50708999.999999993</v>
      </c>
      <c r="M496" s="56"/>
      <c r="N496" s="56"/>
      <c r="O496" s="56"/>
      <c r="P496" s="56">
        <f>+SUM(M496:O496)</f>
        <v>0</v>
      </c>
      <c r="Q496" s="9" t="s">
        <v>20</v>
      </c>
      <c r="S496" s="13">
        <f>+P496-L496</f>
        <v>-50708999.999999993</v>
      </c>
    </row>
    <row r="497" spans="1:17" hidden="1">
      <c r="A497" t="s">
        <v>55</v>
      </c>
      <c r="B497" t="s">
        <v>581</v>
      </c>
      <c r="C497" t="s">
        <v>582</v>
      </c>
      <c r="D497" t="s">
        <v>9</v>
      </c>
      <c r="E497" s="13">
        <v>339854.89</v>
      </c>
      <c r="F497" s="13">
        <v>9514.83</v>
      </c>
      <c r="G497" s="13">
        <v>9616444</v>
      </c>
      <c r="H497" s="13">
        <f t="shared" si="24"/>
        <v>9965813.7200000007</v>
      </c>
      <c r="I497" s="13">
        <v>8023341</v>
      </c>
      <c r="J497" s="13">
        <f t="shared" si="25"/>
        <v>17989154.719999999</v>
      </c>
      <c r="K497" s="13"/>
      <c r="L497" s="13"/>
      <c r="M497" s="13"/>
      <c r="N497" s="13"/>
      <c r="O497" s="13"/>
      <c r="P497" s="13"/>
      <c r="Q497" t="s">
        <v>43</v>
      </c>
    </row>
    <row r="498" spans="1:17" hidden="1">
      <c r="A498" t="s">
        <v>55</v>
      </c>
      <c r="B498" t="s">
        <v>581</v>
      </c>
      <c r="C498" t="s">
        <v>583</v>
      </c>
      <c r="D498" t="s">
        <v>9</v>
      </c>
      <c r="E498" s="13">
        <v>7720.6200000000017</v>
      </c>
      <c r="F498" s="13"/>
      <c r="G498" s="13"/>
      <c r="H498" s="13">
        <f t="shared" si="24"/>
        <v>7720.6200000000017</v>
      </c>
      <c r="I498" s="13"/>
      <c r="J498" s="13">
        <f t="shared" si="25"/>
        <v>7720.6200000000017</v>
      </c>
      <c r="K498" s="13"/>
      <c r="L498" s="13"/>
      <c r="M498" s="13"/>
      <c r="N498" s="13"/>
      <c r="O498" s="13"/>
      <c r="P498" s="13"/>
      <c r="Q498" t="s">
        <v>42</v>
      </c>
    </row>
    <row r="499" spans="1:17" hidden="1">
      <c r="A499" t="s">
        <v>55</v>
      </c>
      <c r="B499" t="s">
        <v>581</v>
      </c>
      <c r="C499" t="s">
        <v>584</v>
      </c>
      <c r="D499" t="s">
        <v>9</v>
      </c>
      <c r="E499" s="13">
        <v>437004.99</v>
      </c>
      <c r="F499" s="13">
        <v>35088.39</v>
      </c>
      <c r="G499" s="13">
        <v>250000</v>
      </c>
      <c r="H499" s="13">
        <f t="shared" si="24"/>
        <v>722093.38</v>
      </c>
      <c r="I499" s="13">
        <v>250000</v>
      </c>
      <c r="J499" s="13">
        <f t="shared" si="25"/>
        <v>972093.38</v>
      </c>
      <c r="K499" s="13"/>
      <c r="L499" s="13"/>
      <c r="M499" s="13"/>
      <c r="N499" s="13"/>
      <c r="O499" s="13"/>
      <c r="P499" s="13"/>
      <c r="Q499" t="s">
        <v>42</v>
      </c>
    </row>
    <row r="500" spans="1:17" hidden="1">
      <c r="A500" t="s">
        <v>55</v>
      </c>
      <c r="B500" t="s">
        <v>581</v>
      </c>
      <c r="C500" t="s">
        <v>585</v>
      </c>
      <c r="D500" t="s">
        <v>9</v>
      </c>
      <c r="E500" s="13">
        <v>120054.41</v>
      </c>
      <c r="F500" s="13">
        <v>1144377.3499999999</v>
      </c>
      <c r="G500" s="13">
        <v>400000</v>
      </c>
      <c r="H500" s="13">
        <f t="shared" si="24"/>
        <v>1664431.7599999998</v>
      </c>
      <c r="I500" s="13">
        <v>400000</v>
      </c>
      <c r="J500" s="13">
        <f t="shared" si="25"/>
        <v>2064431.7599999998</v>
      </c>
      <c r="K500" s="13"/>
      <c r="L500" s="13"/>
      <c r="M500" s="13"/>
      <c r="N500" s="13"/>
      <c r="O500" s="13"/>
      <c r="P500" s="13"/>
      <c r="Q500" t="s">
        <v>42</v>
      </c>
    </row>
    <row r="501" spans="1:17" hidden="1">
      <c r="A501" t="s">
        <v>55</v>
      </c>
      <c r="B501" t="s">
        <v>581</v>
      </c>
      <c r="C501" t="s">
        <v>586</v>
      </c>
      <c r="D501" t="s">
        <v>9</v>
      </c>
      <c r="E501" s="13"/>
      <c r="F501" s="13"/>
      <c r="G501" s="13">
        <v>100000</v>
      </c>
      <c r="H501" s="13">
        <f t="shared" si="24"/>
        <v>100000</v>
      </c>
      <c r="I501" s="13">
        <v>100000</v>
      </c>
      <c r="J501" s="13">
        <f t="shared" si="25"/>
        <v>200000</v>
      </c>
      <c r="K501" s="13"/>
      <c r="L501" s="13"/>
      <c r="M501" s="13"/>
      <c r="N501" s="13"/>
      <c r="O501" s="13"/>
      <c r="P501" s="13"/>
      <c r="Q501" t="s">
        <v>42</v>
      </c>
    </row>
    <row r="502" spans="1:17" hidden="1">
      <c r="A502" t="s">
        <v>55</v>
      </c>
      <c r="B502" t="s">
        <v>581</v>
      </c>
      <c r="C502" t="s">
        <v>587</v>
      </c>
      <c r="D502" t="s">
        <v>9</v>
      </c>
      <c r="E502" s="13">
        <v>210300.65000000002</v>
      </c>
      <c r="F502" s="13">
        <v>336691.05</v>
      </c>
      <c r="G502" s="13">
        <v>220000</v>
      </c>
      <c r="H502" s="13">
        <f t="shared" si="24"/>
        <v>766991.7</v>
      </c>
      <c r="I502" s="13">
        <v>240000</v>
      </c>
      <c r="J502" s="13">
        <f t="shared" si="25"/>
        <v>1006991.7</v>
      </c>
      <c r="K502" s="13"/>
      <c r="L502" s="13"/>
      <c r="M502" s="13"/>
      <c r="N502" s="13"/>
      <c r="O502" s="13"/>
      <c r="P502" s="13"/>
      <c r="Q502" t="s">
        <v>42</v>
      </c>
    </row>
    <row r="503" spans="1:17" hidden="1">
      <c r="A503" t="s">
        <v>55</v>
      </c>
      <c r="B503" t="s">
        <v>581</v>
      </c>
      <c r="C503" t="s">
        <v>588</v>
      </c>
      <c r="D503" t="s">
        <v>9</v>
      </c>
      <c r="E503" s="13">
        <v>10506.770000000011</v>
      </c>
      <c r="F503" s="13"/>
      <c r="G503" s="13"/>
      <c r="H503" s="13">
        <f t="shared" si="24"/>
        <v>10506.770000000011</v>
      </c>
      <c r="I503" s="13"/>
      <c r="J503" s="13">
        <f t="shared" si="25"/>
        <v>10506.770000000011</v>
      </c>
      <c r="K503" s="13"/>
      <c r="L503" s="13"/>
      <c r="M503" s="13"/>
      <c r="N503" s="13"/>
      <c r="O503" s="13"/>
      <c r="P503" s="13"/>
      <c r="Q503" t="s">
        <v>42</v>
      </c>
    </row>
    <row r="504" spans="1:17" hidden="1">
      <c r="A504" t="s">
        <v>55</v>
      </c>
      <c r="B504" t="s">
        <v>581</v>
      </c>
      <c r="C504" t="s">
        <v>589</v>
      </c>
      <c r="D504" t="s">
        <v>9</v>
      </c>
      <c r="E504" s="13">
        <v>175188.75000000012</v>
      </c>
      <c r="F504" s="13">
        <v>414905.18</v>
      </c>
      <c r="G504" s="13">
        <v>200000</v>
      </c>
      <c r="H504" s="13">
        <f t="shared" si="24"/>
        <v>790093.93000000017</v>
      </c>
      <c r="I504" s="13">
        <v>200000</v>
      </c>
      <c r="J504" s="13">
        <f t="shared" si="25"/>
        <v>990093.93000000017</v>
      </c>
      <c r="K504" s="13"/>
      <c r="L504" s="13"/>
      <c r="M504" s="13"/>
      <c r="N504" s="13"/>
      <c r="O504" s="13"/>
      <c r="P504" s="13"/>
      <c r="Q504" t="s">
        <v>42</v>
      </c>
    </row>
    <row r="505" spans="1:17" hidden="1">
      <c r="A505" t="s">
        <v>55</v>
      </c>
      <c r="B505" t="s">
        <v>581</v>
      </c>
      <c r="C505" t="s">
        <v>590</v>
      </c>
      <c r="D505" t="s">
        <v>9</v>
      </c>
      <c r="E505" s="13">
        <v>-23558.280000000002</v>
      </c>
      <c r="F505" s="13"/>
      <c r="G505" s="13"/>
      <c r="H505" s="13">
        <f t="shared" si="24"/>
        <v>-23558.280000000002</v>
      </c>
      <c r="I505" s="13"/>
      <c r="J505" s="13">
        <f t="shared" si="25"/>
        <v>-23558.280000000002</v>
      </c>
      <c r="K505" s="13"/>
      <c r="L505" s="13"/>
      <c r="M505" s="13"/>
      <c r="N505" s="13"/>
      <c r="O505" s="13"/>
      <c r="P505" s="13"/>
      <c r="Q505" t="s">
        <v>42</v>
      </c>
    </row>
    <row r="506" spans="1:17" hidden="1">
      <c r="A506" t="s">
        <v>55</v>
      </c>
      <c r="B506" t="s">
        <v>581</v>
      </c>
      <c r="C506" t="s">
        <v>61</v>
      </c>
      <c r="D506" t="s">
        <v>9</v>
      </c>
      <c r="E506" s="13">
        <v>306.69000000000005</v>
      </c>
      <c r="F506" s="13"/>
      <c r="G506" s="13"/>
      <c r="H506" s="13">
        <f t="shared" si="24"/>
        <v>306.69000000000005</v>
      </c>
      <c r="I506" s="13"/>
      <c r="J506" s="13">
        <f t="shared" si="25"/>
        <v>306.69000000000005</v>
      </c>
      <c r="K506" s="13"/>
      <c r="L506" s="13"/>
      <c r="M506" s="13"/>
      <c r="N506" s="13"/>
      <c r="O506" s="13"/>
      <c r="P506" s="13"/>
      <c r="Q506" t="s">
        <v>21</v>
      </c>
    </row>
    <row r="507" spans="1:17" hidden="1">
      <c r="A507" t="s">
        <v>55</v>
      </c>
      <c r="B507" t="s">
        <v>581</v>
      </c>
      <c r="C507" t="s">
        <v>63</v>
      </c>
      <c r="D507" t="s">
        <v>9</v>
      </c>
      <c r="E507" s="13">
        <v>7957.99</v>
      </c>
      <c r="F507" s="13"/>
      <c r="G507" s="13"/>
      <c r="H507" s="13">
        <f t="shared" si="24"/>
        <v>7957.99</v>
      </c>
      <c r="I507" s="13"/>
      <c r="J507" s="13">
        <f t="shared" si="25"/>
        <v>7957.99</v>
      </c>
      <c r="K507" s="13"/>
      <c r="L507" s="13"/>
      <c r="M507" s="13"/>
      <c r="N507" s="13"/>
      <c r="O507" s="13"/>
      <c r="P507" s="13"/>
      <c r="Q507" t="s">
        <v>21</v>
      </c>
    </row>
    <row r="508" spans="1:17" hidden="1">
      <c r="A508" t="s">
        <v>55</v>
      </c>
      <c r="B508" t="s">
        <v>581</v>
      </c>
      <c r="C508" t="s">
        <v>591</v>
      </c>
      <c r="D508" t="s">
        <v>9</v>
      </c>
      <c r="E508" s="13">
        <v>312371.08999999997</v>
      </c>
      <c r="F508" s="13">
        <v>319639.22999999981</v>
      </c>
      <c r="G508" s="13"/>
      <c r="H508" s="13">
        <f t="shared" si="24"/>
        <v>632010.31999999983</v>
      </c>
      <c r="I508" s="13"/>
      <c r="J508" s="13">
        <f t="shared" si="25"/>
        <v>632010.31999999983</v>
      </c>
      <c r="K508" s="13"/>
      <c r="L508" s="13"/>
      <c r="M508" s="13"/>
      <c r="N508" s="13"/>
      <c r="O508" s="13"/>
      <c r="P508" s="13"/>
      <c r="Q508" t="s">
        <v>42</v>
      </c>
    </row>
    <row r="509" spans="1:17" hidden="1">
      <c r="A509" t="s">
        <v>55</v>
      </c>
      <c r="B509" t="s">
        <v>581</v>
      </c>
      <c r="C509" t="s">
        <v>65</v>
      </c>
      <c r="D509" t="s">
        <v>9</v>
      </c>
      <c r="E509" s="13">
        <v>0</v>
      </c>
      <c r="F509" s="13"/>
      <c r="G509" s="13"/>
      <c r="H509" s="13">
        <f t="shared" si="24"/>
        <v>0</v>
      </c>
      <c r="I509" s="13"/>
      <c r="J509" s="13">
        <f t="shared" si="25"/>
        <v>0</v>
      </c>
      <c r="K509" s="13"/>
      <c r="L509" s="13"/>
      <c r="M509" s="13"/>
      <c r="N509" s="13"/>
      <c r="O509" s="13"/>
      <c r="P509" s="13"/>
      <c r="Q509" t="s">
        <v>21</v>
      </c>
    </row>
    <row r="510" spans="1:17" hidden="1">
      <c r="A510" t="s">
        <v>55</v>
      </c>
      <c r="B510" t="s">
        <v>75</v>
      </c>
      <c r="C510" t="s">
        <v>592</v>
      </c>
      <c r="D510" t="s">
        <v>47</v>
      </c>
      <c r="E510" s="13">
        <v>17643101.700000007</v>
      </c>
      <c r="F510" s="13">
        <v>40857382.560000017</v>
      </c>
      <c r="G510" s="13">
        <v>739441.88</v>
      </c>
      <c r="H510" s="13">
        <f t="shared" si="24"/>
        <v>59239926.140000023</v>
      </c>
      <c r="I510" s="13"/>
      <c r="J510" s="13">
        <f t="shared" si="25"/>
        <v>59239926.140000023</v>
      </c>
      <c r="K510" s="13"/>
      <c r="L510" s="13"/>
      <c r="M510" s="13"/>
      <c r="N510" s="13"/>
      <c r="O510" s="13"/>
      <c r="P510" s="13"/>
      <c r="Q510" t="s">
        <v>49</v>
      </c>
    </row>
    <row r="511" spans="1:17" hidden="1">
      <c r="A511" t="s">
        <v>55</v>
      </c>
      <c r="B511" t="s">
        <v>75</v>
      </c>
      <c r="C511" t="s">
        <v>57</v>
      </c>
      <c r="D511" t="s">
        <v>9</v>
      </c>
      <c r="E511" s="13">
        <v>45786.899999999994</v>
      </c>
      <c r="F511" s="13"/>
      <c r="G511" s="13"/>
      <c r="H511" s="13">
        <f t="shared" si="24"/>
        <v>45786.899999999994</v>
      </c>
      <c r="I511" s="13"/>
      <c r="J511" s="13">
        <f t="shared" si="25"/>
        <v>45786.899999999994</v>
      </c>
      <c r="K511" s="13"/>
      <c r="L511" s="13"/>
      <c r="M511" s="13"/>
      <c r="N511" s="13"/>
      <c r="O511" s="13"/>
      <c r="P511" s="13"/>
      <c r="Q511" t="s">
        <v>21</v>
      </c>
    </row>
    <row r="512" spans="1:17" hidden="1">
      <c r="A512" t="s">
        <v>55</v>
      </c>
      <c r="B512" t="s">
        <v>75</v>
      </c>
      <c r="C512" t="s">
        <v>593</v>
      </c>
      <c r="D512" t="s">
        <v>47</v>
      </c>
      <c r="E512" s="13">
        <v>1137686.0399999998</v>
      </c>
      <c r="F512" s="13">
        <v>146557.57000000004</v>
      </c>
      <c r="G512" s="13"/>
      <c r="H512" s="13">
        <f t="shared" si="24"/>
        <v>1284243.6099999999</v>
      </c>
      <c r="I512" s="13"/>
      <c r="J512" s="13">
        <f t="shared" si="25"/>
        <v>1284243.6099999999</v>
      </c>
      <c r="K512" s="13"/>
      <c r="L512" s="13"/>
      <c r="M512" s="13"/>
      <c r="N512" s="13"/>
      <c r="O512" s="13"/>
      <c r="P512" s="13"/>
      <c r="Q512" t="s">
        <v>49</v>
      </c>
    </row>
    <row r="513" spans="1:19" hidden="1">
      <c r="A513" t="s">
        <v>55</v>
      </c>
      <c r="B513" t="s">
        <v>75</v>
      </c>
      <c r="C513" t="s">
        <v>594</v>
      </c>
      <c r="D513" t="s">
        <v>47</v>
      </c>
      <c r="E513" s="13">
        <v>13561807.129999997</v>
      </c>
      <c r="F513" s="13">
        <v>235747.76000000004</v>
      </c>
      <c r="G513" s="13"/>
      <c r="H513" s="13">
        <f t="shared" si="24"/>
        <v>13797554.889999997</v>
      </c>
      <c r="I513" s="13"/>
      <c r="J513" s="13">
        <f t="shared" si="25"/>
        <v>13797554.889999997</v>
      </c>
      <c r="K513" s="13"/>
      <c r="L513" s="13"/>
      <c r="M513" s="13"/>
      <c r="N513" s="13"/>
      <c r="O513" s="13"/>
      <c r="P513" s="13"/>
      <c r="Q513" t="s">
        <v>49</v>
      </c>
    </row>
    <row r="514" spans="1:19" hidden="1">
      <c r="A514" t="s">
        <v>55</v>
      </c>
      <c r="B514" t="s">
        <v>75</v>
      </c>
      <c r="C514" t="s">
        <v>595</v>
      </c>
      <c r="D514" t="s">
        <v>87</v>
      </c>
      <c r="E514" s="13"/>
      <c r="F514" s="13"/>
      <c r="G514" s="13">
        <v>12878944.970000001</v>
      </c>
      <c r="H514" s="13">
        <f t="shared" ref="H514:H577" si="26">+SUM(E514:G514)</f>
        <v>12878944.970000001</v>
      </c>
      <c r="I514" s="13">
        <v>85430904.939999998</v>
      </c>
      <c r="J514" s="13">
        <f t="shared" ref="J514:J577" si="27">+I514+H514</f>
        <v>98309849.909999996</v>
      </c>
      <c r="K514" s="13">
        <v>3696062.85</v>
      </c>
      <c r="L514" s="13">
        <f>+K514+J514</f>
        <v>102005912.75999999</v>
      </c>
      <c r="M514" s="56"/>
      <c r="N514" s="56"/>
      <c r="O514" s="56"/>
      <c r="P514" s="56">
        <f>+SUM(M514:O514)</f>
        <v>0</v>
      </c>
      <c r="Q514" t="s">
        <v>18</v>
      </c>
      <c r="S514" s="13"/>
    </row>
    <row r="515" spans="1:19" hidden="1">
      <c r="A515" t="s">
        <v>55</v>
      </c>
      <c r="B515" t="s">
        <v>75</v>
      </c>
      <c r="C515" s="55" t="s">
        <v>596</v>
      </c>
      <c r="D515" t="s">
        <v>47</v>
      </c>
      <c r="E515" s="56"/>
      <c r="F515" s="56">
        <v>42396641.480000004</v>
      </c>
      <c r="G515" s="56">
        <v>52479898.43</v>
      </c>
      <c r="H515" s="13">
        <f t="shared" si="26"/>
        <v>94876539.909999996</v>
      </c>
      <c r="I515" s="56">
        <v>4571121.66</v>
      </c>
      <c r="J515" s="13">
        <f t="shared" si="27"/>
        <v>99447661.569999993</v>
      </c>
      <c r="K515" s="13"/>
      <c r="L515" s="13"/>
      <c r="M515" s="56"/>
      <c r="N515" s="56"/>
      <c r="O515" s="56"/>
      <c r="P515" s="56"/>
      <c r="Q515" t="s">
        <v>18</v>
      </c>
    </row>
    <row r="516" spans="1:19" hidden="1">
      <c r="A516" t="s">
        <v>55</v>
      </c>
      <c r="B516" t="s">
        <v>75</v>
      </c>
      <c r="C516" t="s">
        <v>597</v>
      </c>
      <c r="D516" t="s">
        <v>9</v>
      </c>
      <c r="E516" s="13">
        <v>109236.47</v>
      </c>
      <c r="F516" s="13">
        <v>57243.490000000005</v>
      </c>
      <c r="G516" s="13">
        <v>200000</v>
      </c>
      <c r="H516" s="13">
        <f t="shared" si="26"/>
        <v>366479.96</v>
      </c>
      <c r="I516" s="13">
        <v>200000</v>
      </c>
      <c r="J516" s="13">
        <f t="shared" si="27"/>
        <v>566479.96</v>
      </c>
      <c r="K516" s="13"/>
      <c r="L516" s="13"/>
      <c r="M516" s="13"/>
      <c r="N516" s="13"/>
      <c r="O516" s="13"/>
      <c r="P516" s="13"/>
      <c r="Q516" t="s">
        <v>42</v>
      </c>
    </row>
    <row r="517" spans="1:19" hidden="1">
      <c r="A517" t="s">
        <v>55</v>
      </c>
      <c r="B517" t="s">
        <v>75</v>
      </c>
      <c r="C517" t="s">
        <v>598</v>
      </c>
      <c r="D517" t="s">
        <v>87</v>
      </c>
      <c r="E517" s="13"/>
      <c r="F517" s="13">
        <v>18332224.140000001</v>
      </c>
      <c r="G517" s="13">
        <v>25040720.350000001</v>
      </c>
      <c r="H517" s="13">
        <f t="shared" si="26"/>
        <v>43372944.490000002</v>
      </c>
      <c r="I517" s="13">
        <v>55527936.329999998</v>
      </c>
      <c r="J517" s="13">
        <f t="shared" si="27"/>
        <v>98900880.819999993</v>
      </c>
      <c r="K517" s="13">
        <v>1158000</v>
      </c>
      <c r="L517" s="13">
        <f>+K517+J517</f>
        <v>100058880.81999999</v>
      </c>
      <c r="M517" s="56"/>
      <c r="N517" s="56"/>
      <c r="O517" s="56"/>
      <c r="P517" s="56">
        <f>+SUM(M517:O517)</f>
        <v>0</v>
      </c>
      <c r="Q517" t="s">
        <v>18</v>
      </c>
      <c r="S517" s="13"/>
    </row>
    <row r="518" spans="1:19" hidden="1">
      <c r="A518" t="s">
        <v>55</v>
      </c>
      <c r="B518" t="s">
        <v>75</v>
      </c>
      <c r="C518" t="s">
        <v>599</v>
      </c>
      <c r="D518" t="s">
        <v>47</v>
      </c>
      <c r="E518" s="13">
        <v>7103755.0900000008</v>
      </c>
      <c r="F518" s="13">
        <v>19629458.339999996</v>
      </c>
      <c r="G518" s="13">
        <v>277768.46000000002</v>
      </c>
      <c r="H518" s="13">
        <f t="shared" si="26"/>
        <v>27010981.889999997</v>
      </c>
      <c r="I518" s="13"/>
      <c r="J518" s="13">
        <f t="shared" si="27"/>
        <v>27010981.889999997</v>
      </c>
      <c r="K518" s="13"/>
      <c r="L518" s="13"/>
      <c r="M518" s="13"/>
      <c r="N518" s="13"/>
      <c r="O518" s="13"/>
      <c r="P518" s="13"/>
      <c r="Q518" t="s">
        <v>49</v>
      </c>
    </row>
    <row r="519" spans="1:19" hidden="1">
      <c r="A519" t="s">
        <v>55</v>
      </c>
      <c r="B519" t="s">
        <v>75</v>
      </c>
      <c r="C519" t="s">
        <v>600</v>
      </c>
      <c r="D519" t="s">
        <v>47</v>
      </c>
      <c r="E519" s="13">
        <v>0</v>
      </c>
      <c r="F519" s="13"/>
      <c r="G519" s="13"/>
      <c r="H519" s="13">
        <f t="shared" si="26"/>
        <v>0</v>
      </c>
      <c r="I519" s="13"/>
      <c r="J519" s="13">
        <f t="shared" si="27"/>
        <v>0</v>
      </c>
      <c r="K519" s="13"/>
      <c r="L519" s="13"/>
      <c r="M519" s="13"/>
      <c r="N519" s="13"/>
      <c r="O519" s="13"/>
      <c r="P519" s="13"/>
      <c r="Q519" t="s">
        <v>49</v>
      </c>
    </row>
    <row r="520" spans="1:19" hidden="1">
      <c r="A520" t="s">
        <v>55</v>
      </c>
      <c r="B520" t="s">
        <v>75</v>
      </c>
      <c r="C520" t="s">
        <v>601</v>
      </c>
      <c r="D520" t="s">
        <v>47</v>
      </c>
      <c r="E520" s="13">
        <v>1810784.0999999999</v>
      </c>
      <c r="F520" s="13">
        <v>6759800.4200000046</v>
      </c>
      <c r="G520" s="13">
        <v>100000</v>
      </c>
      <c r="H520" s="13">
        <f t="shared" si="26"/>
        <v>8670584.5200000051</v>
      </c>
      <c r="I520" s="13"/>
      <c r="J520" s="13">
        <f t="shared" si="27"/>
        <v>8670584.5200000051</v>
      </c>
      <c r="K520" s="13"/>
      <c r="L520" s="13"/>
      <c r="M520" s="13"/>
      <c r="N520" s="13"/>
      <c r="O520" s="13"/>
      <c r="P520" s="13"/>
      <c r="Q520" t="s">
        <v>49</v>
      </c>
    </row>
    <row r="521" spans="1:19" hidden="1">
      <c r="A521" t="s">
        <v>55</v>
      </c>
      <c r="B521" t="s">
        <v>75</v>
      </c>
      <c r="C521" t="s">
        <v>602</v>
      </c>
      <c r="D521" t="s">
        <v>47</v>
      </c>
      <c r="E521" s="13">
        <v>21741.4</v>
      </c>
      <c r="F521" s="13">
        <v>1775.0500000000002</v>
      </c>
      <c r="G521" s="13"/>
      <c r="H521" s="13">
        <f t="shared" si="26"/>
        <v>23516.45</v>
      </c>
      <c r="I521" s="13"/>
      <c r="J521" s="13">
        <f t="shared" si="27"/>
        <v>23516.45</v>
      </c>
      <c r="K521" s="13"/>
      <c r="L521" s="13"/>
      <c r="M521" s="13"/>
      <c r="N521" s="13"/>
      <c r="O521" s="13"/>
      <c r="P521" s="13"/>
      <c r="Q521" t="s">
        <v>49</v>
      </c>
    </row>
    <row r="522" spans="1:19" hidden="1">
      <c r="A522" t="s">
        <v>55</v>
      </c>
      <c r="B522" t="s">
        <v>75</v>
      </c>
      <c r="C522" t="s">
        <v>603</v>
      </c>
      <c r="D522" t="s">
        <v>47</v>
      </c>
      <c r="E522" s="13">
        <v>76839.880000000019</v>
      </c>
      <c r="F522" s="13">
        <v>1.8900436771218665E-12</v>
      </c>
      <c r="G522" s="13"/>
      <c r="H522" s="13">
        <f t="shared" si="26"/>
        <v>76839.880000000019</v>
      </c>
      <c r="I522" s="13"/>
      <c r="J522" s="13">
        <f t="shared" si="27"/>
        <v>76839.880000000019</v>
      </c>
      <c r="K522" s="13"/>
      <c r="L522" s="13"/>
      <c r="M522" s="13"/>
      <c r="N522" s="13"/>
      <c r="O522" s="13"/>
      <c r="P522" s="13"/>
      <c r="Q522" t="s">
        <v>49</v>
      </c>
    </row>
    <row r="523" spans="1:19" hidden="1">
      <c r="A523" t="s">
        <v>55</v>
      </c>
      <c r="B523" t="s">
        <v>75</v>
      </c>
      <c r="C523" t="s">
        <v>604</v>
      </c>
      <c r="D523" t="s">
        <v>87</v>
      </c>
      <c r="E523" s="13"/>
      <c r="F523" s="13"/>
      <c r="G523" s="13"/>
      <c r="H523" s="13">
        <f t="shared" si="26"/>
        <v>0</v>
      </c>
      <c r="I523" s="13">
        <v>9610000</v>
      </c>
      <c r="J523" s="13">
        <f t="shared" si="27"/>
        <v>9610000</v>
      </c>
      <c r="K523" s="13"/>
      <c r="L523" s="13">
        <f>+K523+J523</f>
        <v>9610000</v>
      </c>
      <c r="M523" s="56"/>
      <c r="N523" s="56"/>
      <c r="O523" s="56"/>
      <c r="P523" s="56">
        <f>+SUM(M523:O523)</f>
        <v>0</v>
      </c>
      <c r="Q523" t="s">
        <v>18</v>
      </c>
      <c r="S523" s="13"/>
    </row>
    <row r="524" spans="1:19" hidden="1">
      <c r="A524" t="s">
        <v>55</v>
      </c>
      <c r="B524" t="s">
        <v>75</v>
      </c>
      <c r="C524" t="s">
        <v>605</v>
      </c>
      <c r="D524" t="s">
        <v>87</v>
      </c>
      <c r="E524" s="13"/>
      <c r="F524" s="13">
        <v>4.9737991503207013E-14</v>
      </c>
      <c r="G524" s="13"/>
      <c r="H524" s="13">
        <f t="shared" si="26"/>
        <v>4.9737991503207013E-14</v>
      </c>
      <c r="I524" s="13"/>
      <c r="J524" s="13">
        <f t="shared" si="27"/>
        <v>4.9737991503207013E-14</v>
      </c>
      <c r="K524" s="13"/>
      <c r="L524" s="13">
        <f>+K524+J524</f>
        <v>4.9737991503207013E-14</v>
      </c>
      <c r="M524" s="13"/>
      <c r="N524" s="13"/>
      <c r="O524" s="13"/>
      <c r="P524" s="13">
        <f>+SUM(M524:O524)</f>
        <v>0</v>
      </c>
      <c r="Q524" t="s">
        <v>18</v>
      </c>
      <c r="S524" s="13"/>
    </row>
    <row r="525" spans="1:19" hidden="1">
      <c r="A525" t="s">
        <v>55</v>
      </c>
      <c r="B525" t="s">
        <v>75</v>
      </c>
      <c r="C525" s="55" t="s">
        <v>606</v>
      </c>
      <c r="D525" t="s">
        <v>47</v>
      </c>
      <c r="E525" s="56"/>
      <c r="F525" s="56">
        <v>167287.04000000001</v>
      </c>
      <c r="G525" s="56">
        <v>8991566.8499999996</v>
      </c>
      <c r="H525" s="13">
        <f t="shared" si="26"/>
        <v>9158853.8899999987</v>
      </c>
      <c r="I525" s="56"/>
      <c r="J525" s="13">
        <f t="shared" si="27"/>
        <v>9158853.8899999987</v>
      </c>
      <c r="K525" s="13"/>
      <c r="L525" s="13"/>
      <c r="M525" s="56"/>
      <c r="N525" s="56"/>
      <c r="O525" s="56"/>
      <c r="P525" s="56"/>
      <c r="Q525" t="s">
        <v>18</v>
      </c>
    </row>
    <row r="526" spans="1:19" hidden="1">
      <c r="A526" t="s">
        <v>55</v>
      </c>
      <c r="B526" t="s">
        <v>75</v>
      </c>
      <c r="C526" t="s">
        <v>607</v>
      </c>
      <c r="D526" t="s">
        <v>87</v>
      </c>
      <c r="E526" s="13"/>
      <c r="F526" s="13">
        <v>105.89000000000001</v>
      </c>
      <c r="G526" s="13">
        <v>4789040</v>
      </c>
      <c r="H526" s="13">
        <f t="shared" si="26"/>
        <v>4789145.8899999997</v>
      </c>
      <c r="I526" s="13">
        <v>4338144</v>
      </c>
      <c r="J526" s="13">
        <f t="shared" si="27"/>
        <v>9127289.8900000006</v>
      </c>
      <c r="K526" s="13"/>
      <c r="L526" s="13">
        <f>+K526+J526</f>
        <v>9127289.8900000006</v>
      </c>
      <c r="M526" s="56"/>
      <c r="N526" s="56"/>
      <c r="O526" s="56"/>
      <c r="P526" s="56">
        <f>+SUM(M526:O526)</f>
        <v>0</v>
      </c>
      <c r="Q526" t="s">
        <v>18</v>
      </c>
      <c r="S526" s="13"/>
    </row>
    <row r="527" spans="1:19" hidden="1">
      <c r="A527" t="s">
        <v>55</v>
      </c>
      <c r="B527" t="s">
        <v>75</v>
      </c>
      <c r="C527" t="s">
        <v>608</v>
      </c>
      <c r="D527" t="s">
        <v>47</v>
      </c>
      <c r="E527" s="13">
        <v>103423.43000000001</v>
      </c>
      <c r="F527" s="13">
        <v>6453318.8400000036</v>
      </c>
      <c r="G527" s="13">
        <v>100000</v>
      </c>
      <c r="H527" s="13">
        <f t="shared" si="26"/>
        <v>6656742.2700000033</v>
      </c>
      <c r="I527" s="13"/>
      <c r="J527" s="13">
        <f t="shared" si="27"/>
        <v>6656742.2700000033</v>
      </c>
      <c r="K527" s="13"/>
      <c r="L527" s="13"/>
      <c r="M527" s="13"/>
      <c r="N527" s="13"/>
      <c r="O527" s="13"/>
      <c r="P527" s="13"/>
      <c r="Q527" t="s">
        <v>49</v>
      </c>
    </row>
    <row r="528" spans="1:19" hidden="1">
      <c r="A528" t="s">
        <v>55</v>
      </c>
      <c r="B528" t="s">
        <v>75</v>
      </c>
      <c r="C528" t="s">
        <v>609</v>
      </c>
      <c r="D528" t="s">
        <v>47</v>
      </c>
      <c r="E528" s="13">
        <v>189.92000000000002</v>
      </c>
      <c r="F528" s="13"/>
      <c r="G528" s="13"/>
      <c r="H528" s="13">
        <f t="shared" si="26"/>
        <v>189.92000000000002</v>
      </c>
      <c r="I528" s="13"/>
      <c r="J528" s="13">
        <f t="shared" si="27"/>
        <v>189.92000000000002</v>
      </c>
      <c r="K528" s="13"/>
      <c r="L528" s="13"/>
      <c r="M528" s="13"/>
      <c r="N528" s="13"/>
      <c r="O528" s="13"/>
      <c r="P528" s="13"/>
      <c r="Q528" t="s">
        <v>49</v>
      </c>
    </row>
    <row r="529" spans="1:19" hidden="1">
      <c r="A529" t="s">
        <v>55</v>
      </c>
      <c r="B529" t="s">
        <v>75</v>
      </c>
      <c r="C529" s="55" t="s">
        <v>610</v>
      </c>
      <c r="D529" t="s">
        <v>47</v>
      </c>
      <c r="E529" s="56"/>
      <c r="F529" s="56">
        <v>46967.67</v>
      </c>
      <c r="G529" s="56">
        <v>2920069.3200000003</v>
      </c>
      <c r="H529" s="13">
        <f t="shared" si="26"/>
        <v>2967036.99</v>
      </c>
      <c r="I529" s="56"/>
      <c r="J529" s="13">
        <f t="shared" si="27"/>
        <v>2967036.99</v>
      </c>
      <c r="K529" s="13"/>
      <c r="L529" s="13"/>
      <c r="M529" s="56"/>
      <c r="N529" s="56"/>
      <c r="O529" s="56"/>
      <c r="P529" s="56"/>
      <c r="Q529" t="s">
        <v>18</v>
      </c>
    </row>
    <row r="530" spans="1:19" hidden="1">
      <c r="A530" t="s">
        <v>55</v>
      </c>
      <c r="B530" t="s">
        <v>75</v>
      </c>
      <c r="C530" t="s">
        <v>611</v>
      </c>
      <c r="D530" t="s">
        <v>87</v>
      </c>
      <c r="E530" s="13"/>
      <c r="F530" s="13"/>
      <c r="G530" s="13"/>
      <c r="H530" s="13">
        <f t="shared" si="26"/>
        <v>0</v>
      </c>
      <c r="I530" s="13">
        <v>7000000</v>
      </c>
      <c r="J530" s="13">
        <f t="shared" si="27"/>
        <v>7000000</v>
      </c>
      <c r="K530" s="13">
        <v>6000000</v>
      </c>
      <c r="L530" s="13">
        <f>+K530+J530</f>
        <v>13000000</v>
      </c>
      <c r="M530" s="56"/>
      <c r="N530" s="56"/>
      <c r="O530" s="56"/>
      <c r="P530" s="56">
        <f>+SUM(M530:O530)</f>
        <v>0</v>
      </c>
      <c r="Q530" t="s">
        <v>18</v>
      </c>
      <c r="S530" s="13"/>
    </row>
    <row r="531" spans="1:19" hidden="1">
      <c r="A531" t="s">
        <v>55</v>
      </c>
      <c r="B531" t="s">
        <v>75</v>
      </c>
      <c r="C531" t="s">
        <v>612</v>
      </c>
      <c r="D531" t="s">
        <v>87</v>
      </c>
      <c r="E531" s="59"/>
      <c r="F531" s="59"/>
      <c r="G531" s="59"/>
      <c r="H531" s="59">
        <f t="shared" si="26"/>
        <v>0</v>
      </c>
      <c r="I531" s="59">
        <v>5480000</v>
      </c>
      <c r="J531" s="59">
        <f t="shared" si="27"/>
        <v>5480000</v>
      </c>
      <c r="K531" s="13"/>
      <c r="L531" s="13">
        <f>+K531+J531</f>
        <v>5480000</v>
      </c>
      <c r="M531" s="56"/>
      <c r="N531" s="56"/>
      <c r="O531" s="56"/>
      <c r="P531" s="56">
        <f>+SUM(M531:O531)</f>
        <v>0</v>
      </c>
      <c r="Q531" t="s">
        <v>18</v>
      </c>
      <c r="S531" s="13"/>
    </row>
    <row r="532" spans="1:19" hidden="1">
      <c r="A532" t="s">
        <v>55</v>
      </c>
      <c r="B532" t="s">
        <v>75</v>
      </c>
      <c r="C532" t="s">
        <v>613</v>
      </c>
      <c r="D532" t="s">
        <v>47</v>
      </c>
      <c r="E532" s="13">
        <v>215953.08999999997</v>
      </c>
      <c r="F532" s="13"/>
      <c r="G532" s="13"/>
      <c r="H532" s="13">
        <f t="shared" si="26"/>
        <v>215953.08999999997</v>
      </c>
      <c r="I532" s="13"/>
      <c r="J532" s="13">
        <f t="shared" si="27"/>
        <v>215953.08999999997</v>
      </c>
      <c r="K532" s="13"/>
      <c r="L532" s="13"/>
      <c r="M532" s="13"/>
      <c r="N532" s="13"/>
      <c r="O532" s="13"/>
      <c r="P532" s="13"/>
      <c r="Q532" t="s">
        <v>49</v>
      </c>
    </row>
    <row r="533" spans="1:19" hidden="1">
      <c r="A533" t="s">
        <v>55</v>
      </c>
      <c r="B533" t="s">
        <v>75</v>
      </c>
      <c r="C533" t="s">
        <v>614</v>
      </c>
      <c r="D533" t="s">
        <v>47</v>
      </c>
      <c r="E533" s="13">
        <v>325891.75999999989</v>
      </c>
      <c r="F533" s="13">
        <v>6146905.54</v>
      </c>
      <c r="G533" s="13">
        <v>50000</v>
      </c>
      <c r="H533" s="13">
        <f t="shared" si="26"/>
        <v>6522797.2999999998</v>
      </c>
      <c r="I533" s="13"/>
      <c r="J533" s="13">
        <f t="shared" si="27"/>
        <v>6522797.2999999998</v>
      </c>
      <c r="K533" s="13"/>
      <c r="L533" s="13"/>
      <c r="M533" s="13"/>
      <c r="N533" s="13"/>
      <c r="O533" s="13"/>
      <c r="P533" s="13"/>
      <c r="Q533" t="s">
        <v>49</v>
      </c>
    </row>
    <row r="534" spans="1:19" hidden="1">
      <c r="A534" t="s">
        <v>55</v>
      </c>
      <c r="B534" t="s">
        <v>75</v>
      </c>
      <c r="C534" t="s">
        <v>615</v>
      </c>
      <c r="D534" t="s">
        <v>47</v>
      </c>
      <c r="E534" s="13">
        <v>971355.21000000089</v>
      </c>
      <c r="F534" s="13">
        <v>11393684.480000004</v>
      </c>
      <c r="G534" s="13">
        <v>150000</v>
      </c>
      <c r="H534" s="13">
        <f t="shared" si="26"/>
        <v>12515039.690000005</v>
      </c>
      <c r="I534" s="13"/>
      <c r="J534" s="13">
        <f t="shared" si="27"/>
        <v>12515039.690000005</v>
      </c>
      <c r="K534" s="13"/>
      <c r="L534" s="13"/>
      <c r="M534" s="13"/>
      <c r="N534" s="13"/>
      <c r="O534" s="13"/>
      <c r="P534" s="13"/>
      <c r="Q534" t="s">
        <v>49</v>
      </c>
    </row>
    <row r="535" spans="1:19" hidden="1">
      <c r="A535" t="s">
        <v>55</v>
      </c>
      <c r="B535" t="s">
        <v>75</v>
      </c>
      <c r="C535" t="s">
        <v>616</v>
      </c>
      <c r="D535" t="s">
        <v>47</v>
      </c>
      <c r="E535" s="13">
        <v>8313302.2699999977</v>
      </c>
      <c r="F535" s="13">
        <v>230095.78</v>
      </c>
      <c r="G535" s="13"/>
      <c r="H535" s="13">
        <f t="shared" si="26"/>
        <v>8543398.049999997</v>
      </c>
      <c r="I535" s="13"/>
      <c r="J535" s="13">
        <f t="shared" si="27"/>
        <v>8543398.049999997</v>
      </c>
      <c r="K535" s="13"/>
      <c r="L535" s="13"/>
      <c r="M535" s="13"/>
      <c r="N535" s="13"/>
      <c r="O535" s="13"/>
      <c r="P535" s="13"/>
      <c r="Q535" t="s">
        <v>49</v>
      </c>
    </row>
    <row r="536" spans="1:19" hidden="1">
      <c r="A536" t="s">
        <v>55</v>
      </c>
      <c r="B536" t="s">
        <v>75</v>
      </c>
      <c r="C536" t="s">
        <v>617</v>
      </c>
      <c r="D536" t="s">
        <v>47</v>
      </c>
      <c r="E536" s="13">
        <v>1126877.0100000007</v>
      </c>
      <c r="F536" s="13">
        <v>5147.5200000000004</v>
      </c>
      <c r="G536" s="13"/>
      <c r="H536" s="13">
        <f t="shared" si="26"/>
        <v>1132024.5300000007</v>
      </c>
      <c r="I536" s="13"/>
      <c r="J536" s="13">
        <f t="shared" si="27"/>
        <v>1132024.5300000007</v>
      </c>
      <c r="K536" s="13"/>
      <c r="L536" s="13"/>
      <c r="M536" s="13"/>
      <c r="N536" s="13"/>
      <c r="O536" s="13"/>
      <c r="P536" s="13"/>
      <c r="Q536" t="s">
        <v>49</v>
      </c>
    </row>
    <row r="537" spans="1:19" hidden="1">
      <c r="A537" t="s">
        <v>55</v>
      </c>
      <c r="B537" t="s">
        <v>75</v>
      </c>
      <c r="C537" t="s">
        <v>618</v>
      </c>
      <c r="D537" t="s">
        <v>47</v>
      </c>
      <c r="E537" s="13">
        <v>13949.869999999984</v>
      </c>
      <c r="F537" s="13">
        <v>1941.8500000000004</v>
      </c>
      <c r="G537" s="13"/>
      <c r="H537" s="13">
        <f t="shared" si="26"/>
        <v>15891.719999999985</v>
      </c>
      <c r="I537" s="13"/>
      <c r="J537" s="13">
        <f t="shared" si="27"/>
        <v>15891.719999999985</v>
      </c>
      <c r="K537" s="13"/>
      <c r="L537" s="13"/>
      <c r="M537" s="13"/>
      <c r="N537" s="13"/>
      <c r="O537" s="13"/>
      <c r="P537" s="13"/>
      <c r="Q537" t="s">
        <v>49</v>
      </c>
    </row>
    <row r="538" spans="1:19" hidden="1">
      <c r="A538" t="s">
        <v>55</v>
      </c>
      <c r="B538" t="s">
        <v>75</v>
      </c>
      <c r="C538" t="s">
        <v>619</v>
      </c>
      <c r="D538" t="s">
        <v>47</v>
      </c>
      <c r="E538" s="13">
        <v>5365599</v>
      </c>
      <c r="F538" s="13">
        <v>168766.86999999988</v>
      </c>
      <c r="G538" s="13"/>
      <c r="H538" s="13">
        <f t="shared" si="26"/>
        <v>5534365.8700000001</v>
      </c>
      <c r="I538" s="13"/>
      <c r="J538" s="13">
        <f t="shared" si="27"/>
        <v>5534365.8700000001</v>
      </c>
      <c r="K538" s="13"/>
      <c r="L538" s="13"/>
      <c r="M538" s="13"/>
      <c r="N538" s="13"/>
      <c r="O538" s="13"/>
      <c r="P538" s="13"/>
      <c r="Q538" t="s">
        <v>49</v>
      </c>
    </row>
    <row r="539" spans="1:19" hidden="1">
      <c r="A539" t="s">
        <v>55</v>
      </c>
      <c r="B539" t="s">
        <v>75</v>
      </c>
      <c r="C539" s="55" t="s">
        <v>571</v>
      </c>
      <c r="D539" t="s">
        <v>47</v>
      </c>
      <c r="E539" s="56">
        <v>30670.570000000003</v>
      </c>
      <c r="F539" s="56">
        <v>10417373.610000001</v>
      </c>
      <c r="G539" s="56"/>
      <c r="H539" s="13">
        <f t="shared" si="26"/>
        <v>10448044.180000002</v>
      </c>
      <c r="I539" s="56"/>
      <c r="J539" s="13">
        <f t="shared" si="27"/>
        <v>10448044.180000002</v>
      </c>
      <c r="K539" s="13"/>
      <c r="L539" s="13"/>
      <c r="M539" s="56"/>
      <c r="N539" s="56"/>
      <c r="O539" s="56"/>
      <c r="P539" s="56"/>
      <c r="Q539" t="s">
        <v>20</v>
      </c>
    </row>
    <row r="540" spans="1:19" hidden="1">
      <c r="A540" t="s">
        <v>55</v>
      </c>
      <c r="B540" t="s">
        <v>75</v>
      </c>
      <c r="C540" s="55" t="s">
        <v>620</v>
      </c>
      <c r="D540" t="s">
        <v>47</v>
      </c>
      <c r="E540" s="56">
        <v>2854646.8000000003</v>
      </c>
      <c r="F540" s="56">
        <v>12734302.090000002</v>
      </c>
      <c r="G540" s="56">
        <v>20179361.879999999</v>
      </c>
      <c r="H540" s="13">
        <f t="shared" si="26"/>
        <v>35768310.770000003</v>
      </c>
      <c r="I540" s="56">
        <v>4303376.7299999995</v>
      </c>
      <c r="J540" s="13">
        <f t="shared" si="27"/>
        <v>40071687.5</v>
      </c>
      <c r="K540" s="13"/>
      <c r="L540" s="13"/>
      <c r="M540" s="56"/>
      <c r="N540" s="56"/>
      <c r="O540" s="56"/>
      <c r="P540" s="56"/>
      <c r="Q540" t="s">
        <v>18</v>
      </c>
    </row>
    <row r="541" spans="1:19" hidden="1">
      <c r="A541" t="s">
        <v>55</v>
      </c>
      <c r="B541" t="s">
        <v>75</v>
      </c>
      <c r="C541" t="s">
        <v>621</v>
      </c>
      <c r="D541" t="s">
        <v>87</v>
      </c>
      <c r="E541" s="13"/>
      <c r="F541" s="13"/>
      <c r="G541" s="13">
        <v>6935092.7300000004</v>
      </c>
      <c r="H541" s="13">
        <f t="shared" si="26"/>
        <v>6935092.7300000004</v>
      </c>
      <c r="I541" s="13">
        <v>26447724.25</v>
      </c>
      <c r="J541" s="13">
        <f t="shared" si="27"/>
        <v>33382816.98</v>
      </c>
      <c r="K541" s="13">
        <f>41085433+255000</f>
        <v>41340433</v>
      </c>
      <c r="L541" s="13">
        <f>+K541+J541</f>
        <v>74723249.980000004</v>
      </c>
      <c r="M541" s="56"/>
      <c r="N541" s="56"/>
      <c r="O541" s="56"/>
      <c r="P541" s="56">
        <f>+SUM(M541:O541)</f>
        <v>0</v>
      </c>
      <c r="Q541" t="s">
        <v>18</v>
      </c>
      <c r="S541" s="13"/>
    </row>
    <row r="542" spans="1:19" hidden="1">
      <c r="A542" t="s">
        <v>55</v>
      </c>
      <c r="B542" t="s">
        <v>75</v>
      </c>
      <c r="C542" t="s">
        <v>622</v>
      </c>
      <c r="D542" t="s">
        <v>87</v>
      </c>
      <c r="E542" s="13"/>
      <c r="F542" s="13"/>
      <c r="G542" s="13">
        <v>9816711.3000000007</v>
      </c>
      <c r="H542" s="13">
        <f t="shared" si="26"/>
        <v>9816711.3000000007</v>
      </c>
      <c r="I542" s="13"/>
      <c r="J542" s="13">
        <f t="shared" si="27"/>
        <v>9816711.3000000007</v>
      </c>
      <c r="K542" s="13"/>
      <c r="L542" s="13">
        <f>+K542+J542</f>
        <v>9816711.3000000007</v>
      </c>
      <c r="M542" s="56"/>
      <c r="N542" s="56"/>
      <c r="O542" s="56"/>
      <c r="P542" s="56">
        <f>+SUM(M542:O542)</f>
        <v>0</v>
      </c>
      <c r="Q542" t="s">
        <v>18</v>
      </c>
      <c r="S542" s="13"/>
    </row>
    <row r="543" spans="1:19" hidden="1">
      <c r="A543" t="s">
        <v>55</v>
      </c>
      <c r="B543" t="s">
        <v>75</v>
      </c>
      <c r="C543" t="s">
        <v>623</v>
      </c>
      <c r="D543" t="s">
        <v>87</v>
      </c>
      <c r="E543" s="13"/>
      <c r="F543" s="13"/>
      <c r="G543" s="13">
        <v>14639506.869999999</v>
      </c>
      <c r="H543" s="13">
        <f t="shared" si="26"/>
        <v>14639506.869999999</v>
      </c>
      <c r="I543" s="13">
        <v>82470990.909999996</v>
      </c>
      <c r="J543" s="13">
        <f t="shared" si="27"/>
        <v>97110497.780000001</v>
      </c>
      <c r="K543" s="13">
        <v>773251</v>
      </c>
      <c r="L543" s="13">
        <f>+K543+J543</f>
        <v>97883748.780000001</v>
      </c>
      <c r="M543" s="56"/>
      <c r="N543" s="56"/>
      <c r="O543" s="56"/>
      <c r="P543" s="56">
        <f>+SUM(M543:O543)</f>
        <v>0</v>
      </c>
      <c r="Q543" t="s">
        <v>18</v>
      </c>
      <c r="S543" s="13"/>
    </row>
    <row r="544" spans="1:19" hidden="1">
      <c r="A544" t="s">
        <v>55</v>
      </c>
      <c r="B544" t="s">
        <v>75</v>
      </c>
      <c r="C544" t="s">
        <v>624</v>
      </c>
      <c r="D544" t="s">
        <v>87</v>
      </c>
      <c r="E544" s="13"/>
      <c r="F544" s="13"/>
      <c r="G544" s="13">
        <v>14062371.300000001</v>
      </c>
      <c r="H544" s="13">
        <f t="shared" si="26"/>
        <v>14062371.300000001</v>
      </c>
      <c r="I544" s="13"/>
      <c r="J544" s="13">
        <f t="shared" si="27"/>
        <v>14062371.300000001</v>
      </c>
      <c r="K544" s="13"/>
      <c r="L544" s="13">
        <f>+K544+J544</f>
        <v>14062371.300000001</v>
      </c>
      <c r="M544" s="56"/>
      <c r="N544" s="56"/>
      <c r="O544" s="56"/>
      <c r="P544" s="56">
        <f>+SUM(M544:O544)</f>
        <v>0</v>
      </c>
      <c r="Q544" t="s">
        <v>18</v>
      </c>
      <c r="S544" s="13"/>
    </row>
    <row r="545" spans="1:19" hidden="1">
      <c r="A545" t="s">
        <v>55</v>
      </c>
      <c r="B545" t="s">
        <v>75</v>
      </c>
      <c r="C545" t="s">
        <v>625</v>
      </c>
      <c r="D545" t="s">
        <v>47</v>
      </c>
      <c r="E545" s="13">
        <v>8020170.9400000013</v>
      </c>
      <c r="F545" s="13">
        <v>468408.17000000004</v>
      </c>
      <c r="G545" s="13">
        <v>5000</v>
      </c>
      <c r="H545" s="13">
        <f t="shared" si="26"/>
        <v>8493579.1100000013</v>
      </c>
      <c r="I545" s="13"/>
      <c r="J545" s="13">
        <f t="shared" si="27"/>
        <v>8493579.1100000013</v>
      </c>
      <c r="K545" s="13"/>
      <c r="L545" s="13"/>
      <c r="M545" s="13"/>
      <c r="N545" s="13"/>
      <c r="O545" s="13"/>
      <c r="P545" s="13"/>
      <c r="Q545" t="s">
        <v>49</v>
      </c>
    </row>
    <row r="546" spans="1:19" hidden="1">
      <c r="A546" t="s">
        <v>55</v>
      </c>
      <c r="B546" t="s">
        <v>75</v>
      </c>
      <c r="C546" t="s">
        <v>626</v>
      </c>
      <c r="D546" t="s">
        <v>47</v>
      </c>
      <c r="E546" s="13">
        <v>42853016.790000014</v>
      </c>
      <c r="F546" s="13">
        <v>29452461.179999989</v>
      </c>
      <c r="G546" s="13">
        <v>758118.76</v>
      </c>
      <c r="H546" s="13">
        <f t="shared" si="26"/>
        <v>73063596.730000004</v>
      </c>
      <c r="I546" s="13"/>
      <c r="J546" s="13">
        <f t="shared" si="27"/>
        <v>73063596.730000004</v>
      </c>
      <c r="K546" s="13"/>
      <c r="L546" s="13"/>
      <c r="M546" s="13"/>
      <c r="N546" s="13"/>
      <c r="O546" s="13"/>
      <c r="P546" s="13"/>
      <c r="Q546" t="s">
        <v>49</v>
      </c>
    </row>
    <row r="547" spans="1:19" hidden="1">
      <c r="A547" t="s">
        <v>55</v>
      </c>
      <c r="B547" t="s">
        <v>75</v>
      </c>
      <c r="C547" t="s">
        <v>627</v>
      </c>
      <c r="D547" t="s">
        <v>47</v>
      </c>
      <c r="E547" s="13">
        <v>-126.4</v>
      </c>
      <c r="F547" s="13"/>
      <c r="G547" s="13"/>
      <c r="H547" s="13">
        <f t="shared" si="26"/>
        <v>-126.4</v>
      </c>
      <c r="I547" s="13"/>
      <c r="J547" s="13">
        <f t="shared" si="27"/>
        <v>-126.4</v>
      </c>
      <c r="K547" s="13"/>
      <c r="L547" s="13"/>
      <c r="M547" s="13"/>
      <c r="N547" s="13"/>
      <c r="O547" s="13"/>
      <c r="P547" s="13"/>
      <c r="Q547" t="s">
        <v>49</v>
      </c>
    </row>
    <row r="548" spans="1:19" hidden="1">
      <c r="A548" t="s">
        <v>55</v>
      </c>
      <c r="B548" t="s">
        <v>75</v>
      </c>
      <c r="C548" t="s">
        <v>628</v>
      </c>
      <c r="D548" t="s">
        <v>47</v>
      </c>
      <c r="E548" s="13">
        <v>15362311.209999995</v>
      </c>
      <c r="F548" s="13">
        <v>57002346.100000009</v>
      </c>
      <c r="G548" s="13">
        <v>1945768.3</v>
      </c>
      <c r="H548" s="13">
        <f t="shared" si="26"/>
        <v>74310425.609999999</v>
      </c>
      <c r="I548" s="13"/>
      <c r="J548" s="13">
        <f t="shared" si="27"/>
        <v>74310425.609999999</v>
      </c>
      <c r="K548" s="13"/>
      <c r="L548" s="13"/>
      <c r="M548" s="13"/>
      <c r="N548" s="13"/>
      <c r="O548" s="13"/>
      <c r="P548" s="13"/>
      <c r="Q548" t="s">
        <v>49</v>
      </c>
    </row>
    <row r="549" spans="1:19" hidden="1">
      <c r="A549" t="s">
        <v>55</v>
      </c>
      <c r="B549" t="s">
        <v>75</v>
      </c>
      <c r="C549" s="60" t="s">
        <v>629</v>
      </c>
      <c r="D549" s="61" t="s">
        <v>9</v>
      </c>
      <c r="E549" s="13"/>
      <c r="F549" s="13"/>
      <c r="G549" s="13"/>
      <c r="H549" s="13">
        <f t="shared" si="26"/>
        <v>0</v>
      </c>
      <c r="I549" s="13">
        <v>6000000</v>
      </c>
      <c r="J549" s="13">
        <f t="shared" si="27"/>
        <v>6000000</v>
      </c>
      <c r="K549" s="13"/>
      <c r="L549" s="13"/>
      <c r="M549" s="13"/>
      <c r="N549" s="13"/>
      <c r="O549" s="13"/>
      <c r="P549" s="13"/>
      <c r="Q549" s="4" t="s">
        <v>19</v>
      </c>
    </row>
    <row r="550" spans="1:19" hidden="1">
      <c r="A550" t="s">
        <v>55</v>
      </c>
      <c r="B550" t="s">
        <v>75</v>
      </c>
      <c r="C550" t="s">
        <v>630</v>
      </c>
      <c r="D550" t="s">
        <v>47</v>
      </c>
      <c r="E550" s="13">
        <v>35573722.060000002</v>
      </c>
      <c r="F550" s="13">
        <v>708191.31000000064</v>
      </c>
      <c r="G550" s="13"/>
      <c r="H550" s="13">
        <f t="shared" si="26"/>
        <v>36281913.370000005</v>
      </c>
      <c r="I550" s="13"/>
      <c r="J550" s="13">
        <f t="shared" si="27"/>
        <v>36281913.370000005</v>
      </c>
      <c r="K550" s="13"/>
      <c r="L550" s="13"/>
      <c r="M550" s="13"/>
      <c r="N550" s="13"/>
      <c r="O550" s="13"/>
      <c r="P550" s="13"/>
      <c r="Q550" t="s">
        <v>49</v>
      </c>
    </row>
    <row r="551" spans="1:19" hidden="1">
      <c r="A551" t="s">
        <v>55</v>
      </c>
      <c r="B551" t="s">
        <v>75</v>
      </c>
      <c r="C551" t="s">
        <v>631</v>
      </c>
      <c r="D551" t="s">
        <v>47</v>
      </c>
      <c r="E551" s="13">
        <v>482014.59999999928</v>
      </c>
      <c r="F551" s="13">
        <v>717780.03</v>
      </c>
      <c r="G551" s="13"/>
      <c r="H551" s="13">
        <f t="shared" si="26"/>
        <v>1199794.6299999994</v>
      </c>
      <c r="I551" s="13"/>
      <c r="J551" s="13">
        <f t="shared" si="27"/>
        <v>1199794.6299999994</v>
      </c>
      <c r="K551" s="13"/>
      <c r="L551" s="13"/>
      <c r="M551" s="13"/>
      <c r="N551" s="13"/>
      <c r="O551" s="13"/>
      <c r="P551" s="13"/>
      <c r="Q551" t="s">
        <v>49</v>
      </c>
    </row>
    <row r="552" spans="1:19" hidden="1">
      <c r="A552" t="s">
        <v>55</v>
      </c>
      <c r="B552" t="s">
        <v>75</v>
      </c>
      <c r="C552" t="s">
        <v>632</v>
      </c>
      <c r="D552" t="s">
        <v>47</v>
      </c>
      <c r="E552" s="13">
        <v>5046909.8199999984</v>
      </c>
      <c r="F552" s="13">
        <v>790385.73999999929</v>
      </c>
      <c r="G552" s="13">
        <v>5000</v>
      </c>
      <c r="H552" s="13">
        <f t="shared" si="26"/>
        <v>5842295.5599999977</v>
      </c>
      <c r="I552" s="13"/>
      <c r="J552" s="13">
        <f t="shared" si="27"/>
        <v>5842295.5599999977</v>
      </c>
      <c r="K552" s="13"/>
      <c r="L552" s="13"/>
      <c r="M552" s="13"/>
      <c r="N552" s="13"/>
      <c r="O552" s="13"/>
      <c r="P552" s="13"/>
      <c r="Q552" t="s">
        <v>49</v>
      </c>
    </row>
    <row r="553" spans="1:19" hidden="1">
      <c r="A553" t="s">
        <v>55</v>
      </c>
      <c r="B553" t="s">
        <v>75</v>
      </c>
      <c r="C553" t="s">
        <v>633</v>
      </c>
      <c r="D553" t="s">
        <v>9</v>
      </c>
      <c r="E553" s="13"/>
      <c r="F553" s="13">
        <v>14200</v>
      </c>
      <c r="G553" s="13"/>
      <c r="H553" s="13">
        <f t="shared" si="26"/>
        <v>14200</v>
      </c>
      <c r="I553" s="13"/>
      <c r="J553" s="13">
        <f t="shared" si="27"/>
        <v>14200</v>
      </c>
      <c r="K553" s="13"/>
      <c r="L553" s="13"/>
      <c r="M553" s="13"/>
      <c r="N553" s="13"/>
      <c r="O553" s="13"/>
      <c r="P553" s="13"/>
      <c r="Q553" t="s">
        <v>49</v>
      </c>
    </row>
    <row r="554" spans="1:19" hidden="1">
      <c r="A554" t="s">
        <v>55</v>
      </c>
      <c r="B554" t="s">
        <v>75</v>
      </c>
      <c r="C554" t="s">
        <v>634</v>
      </c>
      <c r="D554" t="s">
        <v>47</v>
      </c>
      <c r="E554" s="13">
        <v>35684200.159999989</v>
      </c>
      <c r="F554" s="13">
        <v>428932.96999999986</v>
      </c>
      <c r="G554" s="13"/>
      <c r="H554" s="13">
        <f t="shared" si="26"/>
        <v>36113133.129999988</v>
      </c>
      <c r="I554" s="13"/>
      <c r="J554" s="13">
        <f t="shared" si="27"/>
        <v>36113133.129999988</v>
      </c>
      <c r="K554" s="13"/>
      <c r="L554" s="13"/>
      <c r="M554" s="13"/>
      <c r="N554" s="13"/>
      <c r="O554" s="13"/>
      <c r="P554" s="13"/>
      <c r="Q554" t="s">
        <v>49</v>
      </c>
    </row>
    <row r="555" spans="1:19" hidden="1">
      <c r="A555" t="s">
        <v>55</v>
      </c>
      <c r="B555" t="s">
        <v>75</v>
      </c>
      <c r="C555" t="s">
        <v>635</v>
      </c>
      <c r="D555" t="s">
        <v>9</v>
      </c>
      <c r="E555" s="13">
        <v>350883.42999999993</v>
      </c>
      <c r="F555" s="13">
        <v>18356.519999999993</v>
      </c>
      <c r="G555" s="13"/>
      <c r="H555" s="13">
        <f t="shared" si="26"/>
        <v>369239.94999999995</v>
      </c>
      <c r="I555" s="13"/>
      <c r="J555" s="13">
        <f t="shared" si="27"/>
        <v>369239.94999999995</v>
      </c>
      <c r="K555" s="13"/>
      <c r="L555" s="13"/>
      <c r="M555" s="13"/>
      <c r="N555" s="13"/>
      <c r="O555" s="13"/>
      <c r="P555" s="13"/>
      <c r="Q555" t="s">
        <v>49</v>
      </c>
    </row>
    <row r="556" spans="1:19" hidden="1">
      <c r="A556" t="s">
        <v>55</v>
      </c>
      <c r="B556" t="s">
        <v>75</v>
      </c>
      <c r="C556" t="s">
        <v>636</v>
      </c>
      <c r="D556" t="s">
        <v>9</v>
      </c>
      <c r="E556" s="13">
        <v>7.2100000000064028</v>
      </c>
      <c r="F556" s="13"/>
      <c r="G556" s="13"/>
      <c r="H556" s="13">
        <f t="shared" si="26"/>
        <v>7.2100000000064028</v>
      </c>
      <c r="I556" s="13"/>
      <c r="J556" s="13">
        <f t="shared" si="27"/>
        <v>7.2100000000064028</v>
      </c>
      <c r="K556" s="13"/>
      <c r="L556" s="13"/>
      <c r="M556" s="13"/>
      <c r="N556" s="13"/>
      <c r="O556" s="13"/>
      <c r="P556" s="13"/>
      <c r="Q556" t="s">
        <v>43</v>
      </c>
    </row>
    <row r="557" spans="1:19" hidden="1">
      <c r="A557" t="s">
        <v>55</v>
      </c>
      <c r="B557" t="s">
        <v>75</v>
      </c>
      <c r="C557" t="s">
        <v>637</v>
      </c>
      <c r="D557" t="s">
        <v>9</v>
      </c>
      <c r="E557" s="13">
        <v>1425531.6700000002</v>
      </c>
      <c r="F557" s="13">
        <v>9770580.2300000004</v>
      </c>
      <c r="G557" s="13">
        <v>8583888.1000000015</v>
      </c>
      <c r="H557" s="13">
        <f t="shared" si="26"/>
        <v>19780000</v>
      </c>
      <c r="I557" s="13"/>
      <c r="J557" s="13">
        <f t="shared" si="27"/>
        <v>19780000</v>
      </c>
      <c r="K557" s="13"/>
      <c r="L557" s="13"/>
      <c r="M557" s="13"/>
      <c r="N557" s="13"/>
      <c r="O557" s="13"/>
      <c r="P557" s="13"/>
      <c r="Q557" t="s">
        <v>43</v>
      </c>
    </row>
    <row r="558" spans="1:19">
      <c r="A558" t="s">
        <v>55</v>
      </c>
      <c r="B558" t="s">
        <v>75</v>
      </c>
      <c r="C558" t="s">
        <v>638</v>
      </c>
      <c r="D558" t="s">
        <v>579</v>
      </c>
      <c r="E558" s="13"/>
      <c r="F558" s="13"/>
      <c r="G558" s="13"/>
      <c r="H558" s="13">
        <f t="shared" si="26"/>
        <v>0</v>
      </c>
      <c r="I558" s="13">
        <v>4840000</v>
      </c>
      <c r="J558" s="13">
        <f t="shared" si="27"/>
        <v>4840000</v>
      </c>
      <c r="K558" s="13">
        <f>12780000+99961563</f>
        <v>112741563</v>
      </c>
      <c r="L558" s="13"/>
      <c r="M558" s="13"/>
      <c r="N558" s="13"/>
      <c r="O558" s="13"/>
      <c r="P558" s="13"/>
      <c r="Q558" s="58" t="s">
        <v>50</v>
      </c>
    </row>
    <row r="559" spans="1:19">
      <c r="A559" t="s">
        <v>55</v>
      </c>
      <c r="B559" t="s">
        <v>75</v>
      </c>
      <c r="C559" t="s">
        <v>639</v>
      </c>
      <c r="D559" t="s">
        <v>87</v>
      </c>
      <c r="E559" s="13"/>
      <c r="F559" s="13"/>
      <c r="G559" s="13">
        <v>2378000</v>
      </c>
      <c r="H559" s="13">
        <f t="shared" si="26"/>
        <v>2378000</v>
      </c>
      <c r="I559" s="13"/>
      <c r="J559" s="13">
        <f t="shared" si="27"/>
        <v>2378000</v>
      </c>
      <c r="K559" s="13"/>
      <c r="L559" s="13">
        <f>+K559+J559</f>
        <v>2378000</v>
      </c>
      <c r="M559" s="56"/>
      <c r="N559" s="56"/>
      <c r="O559" s="56"/>
      <c r="P559" s="56">
        <f>+SUM(M559:O559)</f>
        <v>0</v>
      </c>
      <c r="Q559" t="s">
        <v>18</v>
      </c>
      <c r="S559" s="13"/>
    </row>
    <row r="560" spans="1:19">
      <c r="A560" t="s">
        <v>55</v>
      </c>
      <c r="B560" t="s">
        <v>75</v>
      </c>
      <c r="C560" t="s">
        <v>640</v>
      </c>
      <c r="D560" t="s">
        <v>87</v>
      </c>
      <c r="E560" s="13"/>
      <c r="F560" s="13"/>
      <c r="G560" s="13"/>
      <c r="H560" s="13">
        <f t="shared" si="26"/>
        <v>0</v>
      </c>
      <c r="I560" s="13">
        <v>12000000</v>
      </c>
      <c r="J560" s="13">
        <f t="shared" si="27"/>
        <v>12000000</v>
      </c>
      <c r="K560" s="13">
        <f>43956546+500000</f>
        <v>44456546</v>
      </c>
      <c r="L560" s="13">
        <f>+K560+J560</f>
        <v>56456546</v>
      </c>
      <c r="M560" s="56"/>
      <c r="N560" s="56"/>
      <c r="O560" s="56"/>
      <c r="P560" s="56">
        <f>+SUM(M560:O560)</f>
        <v>0</v>
      </c>
      <c r="Q560" t="s">
        <v>18</v>
      </c>
      <c r="S560" s="13"/>
    </row>
    <row r="561" spans="1:19">
      <c r="A561" t="s">
        <v>55</v>
      </c>
      <c r="B561" t="s">
        <v>75</v>
      </c>
      <c r="C561" t="s">
        <v>641</v>
      </c>
      <c r="D561" t="s">
        <v>87</v>
      </c>
      <c r="E561" s="13"/>
      <c r="F561" s="13"/>
      <c r="G561" s="13"/>
      <c r="H561" s="13">
        <f t="shared" si="26"/>
        <v>0</v>
      </c>
      <c r="I561" s="13">
        <v>15000000</v>
      </c>
      <c r="J561" s="13">
        <f t="shared" si="27"/>
        <v>15000000</v>
      </c>
      <c r="K561" s="13">
        <f>114719334+1000000</f>
        <v>115719334</v>
      </c>
      <c r="L561" s="13">
        <f>+K561+J561</f>
        <v>130719334</v>
      </c>
      <c r="M561" s="56"/>
      <c r="N561" s="56"/>
      <c r="O561" s="56"/>
      <c r="P561" s="56">
        <f>+SUM(M561:O561)</f>
        <v>0</v>
      </c>
      <c r="Q561" t="s">
        <v>18</v>
      </c>
      <c r="S561" s="13"/>
    </row>
    <row r="562" spans="1:19">
      <c r="A562" t="s">
        <v>55</v>
      </c>
      <c r="B562" t="s">
        <v>75</v>
      </c>
      <c r="C562" t="s">
        <v>642</v>
      </c>
      <c r="D562" t="s">
        <v>579</v>
      </c>
      <c r="E562" s="13"/>
      <c r="F562" s="13"/>
      <c r="G562" s="13"/>
      <c r="H562" s="13">
        <f t="shared" si="26"/>
        <v>0</v>
      </c>
      <c r="I562" s="13">
        <v>4840000</v>
      </c>
      <c r="J562" s="13">
        <f t="shared" si="27"/>
        <v>4840000</v>
      </c>
      <c r="K562" s="13">
        <f>14780000+108223493</f>
        <v>123003493</v>
      </c>
      <c r="L562" s="13">
        <f t="shared" ref="L562:L567" si="28">+K562+J562</f>
        <v>127843493</v>
      </c>
      <c r="M562" s="13"/>
      <c r="N562" s="13"/>
      <c r="O562" s="50">
        <v>21782125</v>
      </c>
      <c r="P562" s="50"/>
      <c r="Q562" s="58" t="s">
        <v>50</v>
      </c>
    </row>
    <row r="563" spans="1:19">
      <c r="A563" t="s">
        <v>55</v>
      </c>
      <c r="B563" t="s">
        <v>75</v>
      </c>
      <c r="C563" t="s">
        <v>643</v>
      </c>
      <c r="D563" t="s">
        <v>579</v>
      </c>
      <c r="E563" s="13"/>
      <c r="F563" s="13"/>
      <c r="G563" s="13"/>
      <c r="H563" s="13">
        <f t="shared" si="26"/>
        <v>0</v>
      </c>
      <c r="I563" s="13">
        <v>10000000</v>
      </c>
      <c r="J563" s="13">
        <f t="shared" si="27"/>
        <v>10000000</v>
      </c>
      <c r="K563" s="13">
        <v>0</v>
      </c>
      <c r="L563" s="13">
        <f t="shared" si="28"/>
        <v>10000000</v>
      </c>
      <c r="M563" s="13"/>
      <c r="N563" s="13"/>
      <c r="O563" s="13"/>
      <c r="P563" s="13"/>
      <c r="Q563" s="58" t="s">
        <v>50</v>
      </c>
    </row>
    <row r="564" spans="1:19">
      <c r="A564" t="s">
        <v>55</v>
      </c>
      <c r="B564" t="s">
        <v>75</v>
      </c>
      <c r="C564" t="s">
        <v>644</v>
      </c>
      <c r="D564" t="s">
        <v>579</v>
      </c>
      <c r="E564" s="13"/>
      <c r="F564" s="13"/>
      <c r="G564" s="13">
        <v>3000000</v>
      </c>
      <c r="H564" s="13">
        <f t="shared" si="26"/>
        <v>3000000</v>
      </c>
      <c r="I564" s="13">
        <v>11000000</v>
      </c>
      <c r="J564" s="13">
        <f t="shared" si="27"/>
        <v>14000000</v>
      </c>
      <c r="K564" s="13"/>
      <c r="L564" s="13">
        <f t="shared" si="28"/>
        <v>14000000</v>
      </c>
      <c r="M564" s="13"/>
      <c r="N564" s="13"/>
      <c r="O564" s="13"/>
      <c r="P564" s="13"/>
      <c r="Q564" s="58" t="s">
        <v>50</v>
      </c>
    </row>
    <row r="565" spans="1:19">
      <c r="A565" t="s">
        <v>55</v>
      </c>
      <c r="B565" t="s">
        <v>75</v>
      </c>
      <c r="C565" t="s">
        <v>645</v>
      </c>
      <c r="D565" t="s">
        <v>579</v>
      </c>
      <c r="E565" s="13"/>
      <c r="F565" s="13"/>
      <c r="G565" s="13"/>
      <c r="H565" s="13">
        <f t="shared" si="26"/>
        <v>0</v>
      </c>
      <c r="I565" s="13">
        <v>11550000</v>
      </c>
      <c r="J565" s="13">
        <f t="shared" si="27"/>
        <v>11550000</v>
      </c>
      <c r="K565" s="13"/>
      <c r="L565" s="13">
        <f t="shared" si="28"/>
        <v>11550000</v>
      </c>
      <c r="M565" s="13"/>
      <c r="N565" s="13"/>
      <c r="O565" s="13"/>
      <c r="P565" s="13"/>
      <c r="Q565" s="58" t="s">
        <v>50</v>
      </c>
    </row>
    <row r="566" spans="1:19">
      <c r="A566" t="s">
        <v>55</v>
      </c>
      <c r="B566" t="s">
        <v>75</v>
      </c>
      <c r="C566" t="s">
        <v>646</v>
      </c>
      <c r="D566" t="s">
        <v>579</v>
      </c>
      <c r="E566" s="13"/>
      <c r="F566" s="13"/>
      <c r="G566" s="13"/>
      <c r="H566" s="13">
        <f t="shared" si="26"/>
        <v>0</v>
      </c>
      <c r="I566" s="13">
        <v>7800000</v>
      </c>
      <c r="J566" s="13">
        <f t="shared" si="27"/>
        <v>7800000</v>
      </c>
      <c r="K566" s="13"/>
      <c r="L566" s="13">
        <f t="shared" si="28"/>
        <v>7800000</v>
      </c>
      <c r="M566" s="13"/>
      <c r="N566" s="13"/>
      <c r="O566" s="13"/>
      <c r="P566" s="13"/>
      <c r="Q566" s="58" t="s">
        <v>50</v>
      </c>
    </row>
    <row r="567" spans="1:19">
      <c r="A567" t="s">
        <v>55</v>
      </c>
      <c r="B567" t="s">
        <v>75</v>
      </c>
      <c r="C567" t="s">
        <v>647</v>
      </c>
      <c r="D567" t="s">
        <v>579</v>
      </c>
      <c r="E567" s="13"/>
      <c r="F567" s="13"/>
      <c r="G567" s="13"/>
      <c r="H567" s="13">
        <f t="shared" si="26"/>
        <v>0</v>
      </c>
      <c r="I567" s="13">
        <v>11200000</v>
      </c>
      <c r="J567" s="13">
        <f t="shared" si="27"/>
        <v>11200000</v>
      </c>
      <c r="K567" s="13"/>
      <c r="L567" s="13">
        <f t="shared" si="28"/>
        <v>11200000</v>
      </c>
      <c r="M567" s="13"/>
      <c r="N567" s="13"/>
      <c r="O567" s="13"/>
      <c r="P567" s="13"/>
      <c r="Q567" s="58" t="s">
        <v>50</v>
      </c>
    </row>
    <row r="568" spans="1:19" hidden="1">
      <c r="A568" t="s">
        <v>55</v>
      </c>
      <c r="B568" t="s">
        <v>75</v>
      </c>
      <c r="C568" t="s">
        <v>648</v>
      </c>
      <c r="D568" t="s">
        <v>87</v>
      </c>
      <c r="E568" s="13">
        <v>21650686.809999999</v>
      </c>
      <c r="F568" s="13">
        <v>-8457783.3300000001</v>
      </c>
      <c r="G568" s="13">
        <v>-12552254.4</v>
      </c>
      <c r="H568" s="13">
        <f t="shared" si="26"/>
        <v>640649.07999999821</v>
      </c>
      <c r="I568" s="13">
        <v>725845.92</v>
      </c>
      <c r="J568" s="13">
        <f t="shared" si="27"/>
        <v>1366494.9999999981</v>
      </c>
      <c r="K568" s="13"/>
      <c r="L568" s="13">
        <f t="shared" ref="L568:L573" si="29">+K568+J568</f>
        <v>1366494.9999999981</v>
      </c>
      <c r="M568" s="56"/>
      <c r="N568" s="56"/>
      <c r="O568" s="56"/>
      <c r="P568" s="56">
        <f>+SUM(M568:O568)</f>
        <v>0</v>
      </c>
      <c r="Q568" t="s">
        <v>18</v>
      </c>
      <c r="S568" s="13"/>
    </row>
    <row r="569" spans="1:19" hidden="1">
      <c r="A569" t="s">
        <v>55</v>
      </c>
      <c r="B569" t="s">
        <v>75</v>
      </c>
      <c r="C569" t="s">
        <v>649</v>
      </c>
      <c r="D569" t="s">
        <v>87</v>
      </c>
      <c r="E569" s="13">
        <v>22304595.41</v>
      </c>
      <c r="F569" s="13">
        <v>-2092997.6800000002</v>
      </c>
      <c r="G569" s="13">
        <v>-19617262.27</v>
      </c>
      <c r="H569" s="13">
        <f t="shared" si="26"/>
        <v>594335.46000000089</v>
      </c>
      <c r="I569" s="13"/>
      <c r="J569" s="13">
        <f t="shared" si="27"/>
        <v>594335.46000000089</v>
      </c>
      <c r="K569" s="13"/>
      <c r="L569" s="13">
        <f t="shared" si="29"/>
        <v>594335.46000000089</v>
      </c>
      <c r="M569" s="56"/>
      <c r="N569" s="56"/>
      <c r="O569" s="56"/>
      <c r="P569" s="56">
        <f>+SUM(M569:O569)</f>
        <v>0</v>
      </c>
      <c r="Q569" t="s">
        <v>18</v>
      </c>
      <c r="S569" s="13"/>
    </row>
    <row r="570" spans="1:19" hidden="1">
      <c r="A570" s="52" t="s">
        <v>55</v>
      </c>
      <c r="B570" t="s">
        <v>75</v>
      </c>
      <c r="C570" t="s">
        <v>650</v>
      </c>
      <c r="D570" t="s">
        <v>87</v>
      </c>
      <c r="H570" s="13">
        <f t="shared" si="26"/>
        <v>0</v>
      </c>
      <c r="J570" s="13">
        <f t="shared" si="27"/>
        <v>0</v>
      </c>
      <c r="K570" s="13"/>
      <c r="L570" s="13">
        <f t="shared" si="29"/>
        <v>0</v>
      </c>
      <c r="M570" s="50">
        <v>0</v>
      </c>
      <c r="N570" s="50">
        <v>79851512</v>
      </c>
      <c r="O570" s="50">
        <v>142993521</v>
      </c>
      <c r="P570" s="50">
        <f>+SUM(M570:O570)</f>
        <v>222845033</v>
      </c>
      <c r="Q570" t="s">
        <v>18</v>
      </c>
      <c r="S570" s="13"/>
    </row>
    <row r="571" spans="1:19" hidden="1">
      <c r="A571" s="52" t="s">
        <v>55</v>
      </c>
      <c r="B571" t="s">
        <v>75</v>
      </c>
      <c r="C571" t="s">
        <v>651</v>
      </c>
      <c r="D571" t="s">
        <v>87</v>
      </c>
      <c r="H571" s="13">
        <f t="shared" si="26"/>
        <v>0</v>
      </c>
      <c r="J571" s="13">
        <f t="shared" si="27"/>
        <v>0</v>
      </c>
      <c r="K571" s="13"/>
      <c r="L571" s="13">
        <f t="shared" si="29"/>
        <v>0</v>
      </c>
      <c r="M571" s="50">
        <v>23233337</v>
      </c>
      <c r="N571" s="50">
        <v>220338006</v>
      </c>
      <c r="O571" s="50">
        <v>393289</v>
      </c>
      <c r="P571" s="50">
        <f>+SUM(M571:O571)</f>
        <v>243964632</v>
      </c>
      <c r="Q571" t="s">
        <v>18</v>
      </c>
      <c r="S571" s="13"/>
    </row>
    <row r="572" spans="1:19">
      <c r="A572" s="52" t="s">
        <v>55</v>
      </c>
      <c r="B572" t="s">
        <v>75</v>
      </c>
      <c r="C572" t="s">
        <v>652</v>
      </c>
      <c r="D572" t="s">
        <v>87</v>
      </c>
      <c r="H572" s="13">
        <f t="shared" si="26"/>
        <v>0</v>
      </c>
      <c r="J572" s="13">
        <f t="shared" si="27"/>
        <v>0</v>
      </c>
      <c r="K572" s="13"/>
      <c r="L572" s="13">
        <f t="shared" si="29"/>
        <v>0</v>
      </c>
      <c r="M572" s="50">
        <v>0</v>
      </c>
      <c r="N572" s="50">
        <v>14987362</v>
      </c>
      <c r="O572" s="50">
        <v>180598343</v>
      </c>
      <c r="P572" s="50">
        <f>+SUM(M572:O572)</f>
        <v>195585705</v>
      </c>
      <c r="Q572" t="s">
        <v>18</v>
      </c>
      <c r="S572" s="13"/>
    </row>
    <row r="573" spans="1:19">
      <c r="A573" s="52" t="s">
        <v>55</v>
      </c>
      <c r="B573" t="s">
        <v>75</v>
      </c>
      <c r="C573" t="s">
        <v>653</v>
      </c>
      <c r="D573" t="s">
        <v>579</v>
      </c>
      <c r="H573" s="13">
        <f t="shared" si="26"/>
        <v>0</v>
      </c>
      <c r="J573" s="13">
        <f t="shared" si="27"/>
        <v>0</v>
      </c>
      <c r="K573" s="13"/>
      <c r="L573" s="13">
        <f t="shared" si="29"/>
        <v>0</v>
      </c>
      <c r="M573" s="50"/>
      <c r="N573" s="50"/>
      <c r="O573" s="50">
        <v>21782125</v>
      </c>
      <c r="P573" s="58" t="s">
        <v>50</v>
      </c>
      <c r="Q573" s="58" t="s">
        <v>50</v>
      </c>
    </row>
    <row r="574" spans="1:19" hidden="1">
      <c r="A574" t="s">
        <v>55</v>
      </c>
      <c r="B574" t="s">
        <v>75</v>
      </c>
      <c r="C574" t="s">
        <v>66</v>
      </c>
      <c r="D574" t="s">
        <v>9</v>
      </c>
      <c r="E574" s="13">
        <v>61236.209999999985</v>
      </c>
      <c r="F574" s="13">
        <v>-61236.210000000014</v>
      </c>
      <c r="G574" s="13"/>
      <c r="H574" s="13">
        <f t="shared" si="26"/>
        <v>0</v>
      </c>
      <c r="I574" s="13">
        <v>0.04</v>
      </c>
      <c r="J574" s="13">
        <f t="shared" si="27"/>
        <v>0.04</v>
      </c>
      <c r="K574" s="13"/>
      <c r="L574" s="13"/>
      <c r="M574" s="13"/>
      <c r="N574" s="13"/>
      <c r="O574" s="13"/>
      <c r="P574" s="13"/>
      <c r="Q574" t="s">
        <v>21</v>
      </c>
    </row>
    <row r="575" spans="1:19" hidden="1">
      <c r="A575" t="s">
        <v>55</v>
      </c>
      <c r="B575" t="s">
        <v>75</v>
      </c>
      <c r="C575" t="s">
        <v>654</v>
      </c>
      <c r="D575" t="s">
        <v>9</v>
      </c>
      <c r="E575" s="13">
        <v>4796366.5600000005</v>
      </c>
      <c r="F575" s="13">
        <v>-4796366.5599999996</v>
      </c>
      <c r="G575" s="13"/>
      <c r="H575" s="13">
        <f t="shared" si="26"/>
        <v>0</v>
      </c>
      <c r="I575" s="13"/>
      <c r="J575" s="13">
        <f t="shared" si="27"/>
        <v>0</v>
      </c>
      <c r="K575" s="13"/>
      <c r="L575" s="13"/>
      <c r="M575" s="13"/>
      <c r="N575" s="13"/>
      <c r="O575" s="13"/>
      <c r="P575" s="13"/>
      <c r="Q575" t="s">
        <v>49</v>
      </c>
    </row>
    <row r="576" spans="1:19" hidden="1">
      <c r="A576" t="s">
        <v>55</v>
      </c>
      <c r="B576" t="s">
        <v>75</v>
      </c>
      <c r="C576" t="s">
        <v>655</v>
      </c>
      <c r="D576" t="s">
        <v>87</v>
      </c>
      <c r="E576" s="13"/>
      <c r="F576" s="13">
        <v>34.06</v>
      </c>
      <c r="G576" s="13"/>
      <c r="H576" s="13">
        <f t="shared" si="26"/>
        <v>34.06</v>
      </c>
      <c r="I576" s="13"/>
      <c r="J576" s="13">
        <f t="shared" si="27"/>
        <v>34.06</v>
      </c>
      <c r="K576" s="13"/>
      <c r="L576" s="13">
        <f>+K576+J576</f>
        <v>34.06</v>
      </c>
      <c r="M576" s="13"/>
      <c r="N576" s="13"/>
      <c r="O576" s="13"/>
      <c r="P576" s="13">
        <f>+SUM(M576:O576)</f>
        <v>0</v>
      </c>
      <c r="Q576" t="s">
        <v>18</v>
      </c>
      <c r="S576" s="13"/>
    </row>
    <row r="577" spans="1:17" hidden="1">
      <c r="A577" s="52" t="s">
        <v>67</v>
      </c>
      <c r="B577" s="49" t="s">
        <v>69</v>
      </c>
      <c r="C577" t="s">
        <v>89</v>
      </c>
      <c r="D577" t="s">
        <v>87</v>
      </c>
      <c r="E577" s="3">
        <v>2563517.8800000004</v>
      </c>
      <c r="F577" s="3">
        <v>3552399.7899999996</v>
      </c>
      <c r="G577" s="3"/>
      <c r="H577" s="13">
        <f t="shared" si="26"/>
        <v>6115917.6699999999</v>
      </c>
      <c r="I577" s="13"/>
      <c r="J577" s="13">
        <f t="shared" si="27"/>
        <v>6115917.6699999999</v>
      </c>
      <c r="K577" s="13"/>
      <c r="L577" s="13">
        <f>+K577+J577</f>
        <v>6115917.6699999999</v>
      </c>
      <c r="Q577" s="51" t="s">
        <v>23</v>
      </c>
    </row>
    <row r="578" spans="1:17" hidden="1">
      <c r="A578" s="52" t="s">
        <v>67</v>
      </c>
      <c r="B578" s="49" t="s">
        <v>70</v>
      </c>
      <c r="C578" t="s">
        <v>171</v>
      </c>
      <c r="D578" t="s">
        <v>9</v>
      </c>
      <c r="E578">
        <v>524276.49000000011</v>
      </c>
      <c r="F578">
        <v>131955.72999999995</v>
      </c>
      <c r="G578">
        <v>962255</v>
      </c>
      <c r="H578" s="13">
        <f t="shared" ref="H578:H582" si="30">+SUM(E578:G578)</f>
        <v>1618487.2200000002</v>
      </c>
      <c r="J578" s="13">
        <f t="shared" ref="J578" si="31">+SUM(G578:I578)</f>
        <v>2580742.2200000002</v>
      </c>
      <c r="K578" s="13"/>
      <c r="L578" s="13">
        <f>+K578+J578</f>
        <v>2580742.2200000002</v>
      </c>
      <c r="Q578" t="s">
        <v>21</v>
      </c>
    </row>
    <row r="579" spans="1:17" hidden="1">
      <c r="A579" s="52" t="s">
        <v>67</v>
      </c>
      <c r="B579" s="49" t="s">
        <v>233</v>
      </c>
      <c r="C579" s="51" t="s">
        <v>303</v>
      </c>
      <c r="D579" s="51" t="s">
        <v>9</v>
      </c>
      <c r="F579">
        <v>172097.71000000002</v>
      </c>
      <c r="H579" s="13">
        <f t="shared" si="30"/>
        <v>172097.71000000002</v>
      </c>
      <c r="I579" s="13"/>
      <c r="J579" s="13">
        <f t="shared" ref="J579:J582" si="32">+I579+H579</f>
        <v>172097.71000000002</v>
      </c>
      <c r="K579" s="13"/>
      <c r="L579" s="13">
        <f t="shared" ref="L579:L582" si="33">+K579+J579</f>
        <v>172097.71000000002</v>
      </c>
      <c r="Q579" t="s">
        <v>46</v>
      </c>
    </row>
    <row r="580" spans="1:17" hidden="1">
      <c r="A580" s="52" t="s">
        <v>67</v>
      </c>
      <c r="B580" s="49" t="s">
        <v>233</v>
      </c>
      <c r="C580" s="51" t="s">
        <v>317</v>
      </c>
      <c r="D580" s="51" t="s">
        <v>9</v>
      </c>
      <c r="F580">
        <v>368064</v>
      </c>
      <c r="H580" s="13">
        <f t="shared" si="30"/>
        <v>368064</v>
      </c>
      <c r="I580" s="13"/>
      <c r="J580" s="13">
        <f t="shared" si="32"/>
        <v>368064</v>
      </c>
      <c r="K580" s="13"/>
      <c r="L580" s="13">
        <f t="shared" si="33"/>
        <v>368064</v>
      </c>
      <c r="Q580" t="s">
        <v>46</v>
      </c>
    </row>
    <row r="581" spans="1:17" hidden="1">
      <c r="A581" s="52" t="s">
        <v>67</v>
      </c>
      <c r="B581" s="49" t="s">
        <v>233</v>
      </c>
      <c r="C581" s="51" t="s">
        <v>323</v>
      </c>
      <c r="D581" s="51" t="s">
        <v>9</v>
      </c>
      <c r="F581">
        <v>305474.71000000002</v>
      </c>
      <c r="G581">
        <v>171409</v>
      </c>
      <c r="H581" s="13">
        <f t="shared" si="30"/>
        <v>476883.71</v>
      </c>
      <c r="I581" s="13"/>
      <c r="J581" s="13">
        <f t="shared" si="32"/>
        <v>476883.71</v>
      </c>
      <c r="K581" s="13"/>
      <c r="L581" s="13">
        <f t="shared" si="33"/>
        <v>476883.71</v>
      </c>
      <c r="Q581" t="s">
        <v>46</v>
      </c>
    </row>
    <row r="582" spans="1:17" hidden="1">
      <c r="A582" s="52" t="s">
        <v>67</v>
      </c>
      <c r="B582" s="49" t="s">
        <v>233</v>
      </c>
      <c r="C582" s="51" t="s">
        <v>368</v>
      </c>
      <c r="D582" s="51" t="s">
        <v>9</v>
      </c>
      <c r="E582">
        <v>2601854.2400000002</v>
      </c>
      <c r="H582" s="13">
        <f t="shared" si="30"/>
        <v>2601854.2400000002</v>
      </c>
      <c r="I582" s="13"/>
      <c r="J582" s="13">
        <f t="shared" si="32"/>
        <v>2601854.2400000002</v>
      </c>
      <c r="K582" s="13"/>
      <c r="L582" s="13">
        <f t="shared" si="33"/>
        <v>2601854.2400000002</v>
      </c>
      <c r="Q582" t="s">
        <v>46</v>
      </c>
    </row>
    <row r="583" spans="1:17" hidden="1">
      <c r="A583" s="52" t="s">
        <v>67</v>
      </c>
      <c r="B583" s="49" t="s">
        <v>233</v>
      </c>
      <c r="C583" s="51" t="s">
        <v>299</v>
      </c>
      <c r="D583" s="51" t="s">
        <v>9</v>
      </c>
      <c r="F583">
        <v>524421.94999999995</v>
      </c>
      <c r="K583" s="13"/>
      <c r="Q583" t="s">
        <v>46</v>
      </c>
    </row>
    <row r="584" spans="1:17" hidden="1">
      <c r="A584" s="52" t="s">
        <v>67</v>
      </c>
      <c r="B584" s="49" t="s">
        <v>233</v>
      </c>
      <c r="C584" s="51" t="s">
        <v>300</v>
      </c>
      <c r="D584" s="51" t="s">
        <v>9</v>
      </c>
      <c r="F584">
        <v>197737.42</v>
      </c>
      <c r="K584" s="13"/>
      <c r="Q584" t="s">
        <v>46</v>
      </c>
    </row>
    <row r="585" spans="1:17">
      <c r="A585" s="52" t="s">
        <v>55</v>
      </c>
      <c r="B585" t="s">
        <v>75</v>
      </c>
      <c r="C585" t="s">
        <v>656</v>
      </c>
      <c r="D585" t="s">
        <v>579</v>
      </c>
      <c r="H585" s="13">
        <f t="shared" ref="H585:H587" si="34">+SUM(E585:G585)</f>
        <v>0</v>
      </c>
      <c r="J585" s="13">
        <f t="shared" ref="J585:J587" si="35">+I585+H585</f>
        <v>0</v>
      </c>
      <c r="K585" s="13">
        <f>4500000+12780000</f>
        <v>17280000</v>
      </c>
      <c r="L585" s="13">
        <f>+K585+J585</f>
        <v>17280000</v>
      </c>
      <c r="Q585" s="58" t="s">
        <v>50</v>
      </c>
    </row>
    <row r="586" spans="1:17">
      <c r="A586" s="52" t="s">
        <v>55</v>
      </c>
      <c r="B586" t="s">
        <v>75</v>
      </c>
      <c r="C586" t="s">
        <v>657</v>
      </c>
      <c r="D586" t="s">
        <v>579</v>
      </c>
      <c r="H586" s="13">
        <f t="shared" si="34"/>
        <v>0</v>
      </c>
      <c r="J586" s="13">
        <f t="shared" si="35"/>
        <v>0</v>
      </c>
      <c r="K586" s="13">
        <f>4770000+12780000</f>
        <v>17550000</v>
      </c>
      <c r="L586" s="13">
        <f t="shared" ref="L586:L587" si="36">+K586+J586</f>
        <v>17550000</v>
      </c>
      <c r="Q586" s="58" t="s">
        <v>50</v>
      </c>
    </row>
    <row r="587" spans="1:17">
      <c r="A587" s="52" t="s">
        <v>55</v>
      </c>
      <c r="B587" t="s">
        <v>75</v>
      </c>
      <c r="C587" t="s">
        <v>658</v>
      </c>
      <c r="D587" t="s">
        <v>579</v>
      </c>
      <c r="H587" s="13">
        <f t="shared" si="34"/>
        <v>0</v>
      </c>
      <c r="J587" s="13">
        <f t="shared" si="35"/>
        <v>0</v>
      </c>
      <c r="K587" s="13">
        <f>4770000+12780000</f>
        <v>17550000</v>
      </c>
      <c r="L587" s="13">
        <f t="shared" si="36"/>
        <v>17550000</v>
      </c>
      <c r="Q587" s="58" t="s">
        <v>50</v>
      </c>
    </row>
    <row r="588" spans="1:17">
      <c r="H588" s="13"/>
      <c r="J588" s="13"/>
      <c r="K588" s="13"/>
      <c r="L588" s="13"/>
      <c r="Q588" s="58"/>
    </row>
    <row r="589" spans="1:17">
      <c r="K589" s="13"/>
    </row>
  </sheetData>
  <autoFilter ref="A1:R584" xr:uid="{70315231-0421-421F-90D1-1AE652EFE744}">
    <filterColumn colId="0">
      <filters>
        <filter val="Stryker"/>
      </filters>
    </filterColumn>
    <filterColumn colId="2">
      <filters>
        <filter val="Solar W4 P 4 ROOD 2027"/>
        <filter val="Solar W4 P1 Land Solvay 2026"/>
        <filter val="Solar W4 P1 Solvay 2026"/>
        <filter val="Solar W4 P2 Wimauma 3 2026"/>
        <filter val="Solar W4 P3 Clear springs 2027"/>
        <filter val="Solar W4 P3 Land Clear Springs 2027"/>
        <filter val="Solar W4 P4 Land ROOD 2027"/>
        <filter val="Solar W4 P5 Land CLR springs 2 2028"/>
        <filter val="Solar W4 P6 Land Mattianiah 2028"/>
        <filter val="Solar W4 P7 TBD 2028"/>
        <filter val="SW4  (Brewster &amp; Wimauma)"/>
        <filter val="SW4 (Clear Springs &amp; ROOD)"/>
      </filters>
    </filterColumn>
    <sortState xmlns:xlrd2="http://schemas.microsoft.com/office/spreadsheetml/2017/richdata2" ref="A99:Q241">
      <sortCondition sortBy="cellColor" ref="Q1:Q567" dxfId="0"/>
    </sortState>
  </autoFilter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2C98-E35E-4366-969E-73A1D22B03D4}">
  <dimension ref="B1:O20"/>
  <sheetViews>
    <sheetView workbookViewId="0">
      <selection activeCell="D21" sqref="D21"/>
    </sheetView>
  </sheetViews>
  <sheetFormatPr defaultRowHeight="15"/>
  <cols>
    <col min="1" max="1" width="3.5703125" customWidth="1"/>
    <col min="2" max="2" width="47.42578125" customWidth="1"/>
    <col min="3" max="5" width="14.140625" customWidth="1"/>
    <col min="6" max="6" width="2" customWidth="1"/>
    <col min="7" max="8" width="14.140625" customWidth="1"/>
    <col min="9" max="9" width="2" customWidth="1"/>
    <col min="10" max="12" width="14.140625" customWidth="1"/>
    <col min="13" max="13" width="2" customWidth="1"/>
    <col min="14" max="15" width="14.140625" customWidth="1"/>
  </cols>
  <sheetData>
    <row r="1" spans="2:15" s="1" customFormat="1">
      <c r="B1" s="14" t="s">
        <v>659</v>
      </c>
    </row>
    <row r="2" spans="2:15">
      <c r="C2" s="69" t="s">
        <v>660</v>
      </c>
      <c r="D2" s="69"/>
      <c r="E2" s="69"/>
      <c r="G2" s="69" t="s">
        <v>661</v>
      </c>
      <c r="H2" s="69"/>
      <c r="J2" s="69" t="s">
        <v>662</v>
      </c>
      <c r="K2" s="69"/>
      <c r="L2" s="69"/>
      <c r="N2" s="69" t="s">
        <v>663</v>
      </c>
      <c r="O2" s="69"/>
    </row>
    <row r="3" spans="2:15" s="33" customFormat="1">
      <c r="B3" s="33" t="s">
        <v>664</v>
      </c>
      <c r="C3" s="34">
        <v>45992</v>
      </c>
      <c r="D3" s="34">
        <v>46357</v>
      </c>
      <c r="E3" s="34">
        <v>46722</v>
      </c>
      <c r="F3" s="34"/>
      <c r="G3" s="32">
        <v>2026</v>
      </c>
      <c r="H3" s="32">
        <v>2027</v>
      </c>
      <c r="I3" s="32"/>
      <c r="J3" s="32">
        <v>2025</v>
      </c>
      <c r="K3" s="32">
        <v>2026</v>
      </c>
      <c r="L3" s="32">
        <v>2027</v>
      </c>
      <c r="M3" s="32"/>
      <c r="N3" s="32">
        <v>2026</v>
      </c>
      <c r="O3" s="32">
        <v>2027</v>
      </c>
    </row>
    <row r="4" spans="2:15">
      <c r="B4" t="s">
        <v>86</v>
      </c>
      <c r="C4" s="35">
        <v>199825794</v>
      </c>
      <c r="D4" s="35">
        <v>199825794</v>
      </c>
      <c r="E4" s="35">
        <v>199825794</v>
      </c>
      <c r="G4" s="35">
        <v>0</v>
      </c>
      <c r="H4" s="35">
        <v>0</v>
      </c>
      <c r="J4" s="35">
        <v>129563705</v>
      </c>
      <c r="K4" s="35">
        <v>199825794</v>
      </c>
      <c r="L4" s="35">
        <v>199825794</v>
      </c>
      <c r="N4" s="35">
        <v>70262089</v>
      </c>
      <c r="O4" s="35">
        <v>0</v>
      </c>
    </row>
    <row r="5" spans="2:15">
      <c r="B5" t="s">
        <v>88</v>
      </c>
      <c r="C5" s="35">
        <v>357726916</v>
      </c>
      <c r="D5" s="35">
        <v>357726916</v>
      </c>
      <c r="E5" s="35">
        <v>357726916</v>
      </c>
      <c r="G5" s="35">
        <v>0</v>
      </c>
      <c r="H5" s="35">
        <v>0</v>
      </c>
      <c r="J5" s="35">
        <v>181843665</v>
      </c>
      <c r="K5" s="35">
        <v>357726916</v>
      </c>
      <c r="L5" s="35">
        <v>357726916</v>
      </c>
      <c r="N5" s="35">
        <v>175883251</v>
      </c>
      <c r="O5" s="35">
        <v>0</v>
      </c>
    </row>
    <row r="6" spans="2:15">
      <c r="B6" t="s">
        <v>665</v>
      </c>
      <c r="C6" s="35">
        <v>113945365</v>
      </c>
      <c r="D6" s="35">
        <v>173323005</v>
      </c>
      <c r="E6" s="35">
        <v>173323005</v>
      </c>
      <c r="G6" s="35">
        <v>59377640</v>
      </c>
      <c r="H6" s="35">
        <v>0</v>
      </c>
      <c r="J6" s="35">
        <v>76792684</v>
      </c>
      <c r="K6" s="35">
        <v>145699101</v>
      </c>
      <c r="L6" s="35">
        <v>173323005</v>
      </c>
      <c r="N6" s="35">
        <v>68906417</v>
      </c>
      <c r="O6" s="35">
        <v>27623904</v>
      </c>
    </row>
    <row r="7" spans="2:15">
      <c r="B7" t="s">
        <v>513</v>
      </c>
      <c r="C7" s="35">
        <v>80494823</v>
      </c>
      <c r="D7" s="35">
        <v>80494823</v>
      </c>
      <c r="E7" s="35">
        <v>80494823</v>
      </c>
      <c r="G7" s="35">
        <v>0</v>
      </c>
      <c r="H7" s="35">
        <v>0</v>
      </c>
      <c r="J7" s="35">
        <v>49535276</v>
      </c>
      <c r="K7" s="35">
        <v>80494823</v>
      </c>
      <c r="L7" s="35">
        <v>80494823</v>
      </c>
      <c r="N7" s="35">
        <v>30959547</v>
      </c>
      <c r="O7" s="35">
        <v>0</v>
      </c>
    </row>
    <row r="8" spans="2:15">
      <c r="B8" t="s">
        <v>522</v>
      </c>
      <c r="C8" s="35">
        <v>0</v>
      </c>
      <c r="D8" s="35">
        <v>53856070</v>
      </c>
      <c r="E8" s="35">
        <v>53856070</v>
      </c>
      <c r="G8" s="35">
        <v>53856070</v>
      </c>
      <c r="H8" s="35">
        <v>0</v>
      </c>
      <c r="J8" s="35">
        <v>0</v>
      </c>
      <c r="K8" s="35">
        <v>16159560</v>
      </c>
      <c r="L8" s="35">
        <v>53856070</v>
      </c>
      <c r="N8" s="35">
        <v>16159560</v>
      </c>
      <c r="O8" s="35">
        <v>37696510</v>
      </c>
    </row>
    <row r="9" spans="2:15">
      <c r="B9" t="s">
        <v>666</v>
      </c>
      <c r="C9" s="35">
        <v>35106191</v>
      </c>
      <c r="D9" s="35">
        <v>90072752</v>
      </c>
      <c r="E9" s="35">
        <v>90072752</v>
      </c>
      <c r="G9" s="35">
        <v>54966561</v>
      </c>
      <c r="H9" s="35">
        <v>0</v>
      </c>
      <c r="J9" s="35">
        <v>18121576</v>
      </c>
      <c r="K9" s="35">
        <v>39334388</v>
      </c>
      <c r="L9" s="35">
        <v>90072752</v>
      </c>
      <c r="N9" s="35">
        <v>21212812</v>
      </c>
      <c r="O9" s="35">
        <v>50738364</v>
      </c>
    </row>
    <row r="10" spans="2:15">
      <c r="B10" t="s">
        <v>667</v>
      </c>
      <c r="C10" s="35">
        <v>242033380</v>
      </c>
      <c r="D10" s="35">
        <v>243964631</v>
      </c>
      <c r="E10" s="35">
        <v>243964631</v>
      </c>
      <c r="G10" s="35">
        <v>1931251</v>
      </c>
      <c r="H10" s="35">
        <v>0</v>
      </c>
      <c r="J10" s="35">
        <v>23233337</v>
      </c>
      <c r="K10" s="35">
        <v>243571343</v>
      </c>
      <c r="L10" s="35">
        <v>243964631</v>
      </c>
      <c r="N10" s="35">
        <v>220338006</v>
      </c>
      <c r="O10" s="35">
        <v>393288</v>
      </c>
    </row>
    <row r="11" spans="2:15">
      <c r="B11" t="s">
        <v>668</v>
      </c>
      <c r="C11" s="35">
        <v>0</v>
      </c>
      <c r="D11" s="35">
        <v>222649647</v>
      </c>
      <c r="E11" s="35">
        <v>222904647</v>
      </c>
      <c r="G11" s="35">
        <v>222649647</v>
      </c>
      <c r="H11" s="35">
        <v>255000</v>
      </c>
      <c r="J11" s="35">
        <v>0</v>
      </c>
      <c r="K11" s="35">
        <v>79851511</v>
      </c>
      <c r="L11" s="35">
        <v>222845032</v>
      </c>
      <c r="N11" s="35">
        <v>79851511</v>
      </c>
      <c r="O11" s="35">
        <v>142993521</v>
      </c>
    </row>
    <row r="12" spans="2:15">
      <c r="B12" t="s">
        <v>669</v>
      </c>
      <c r="C12" s="3">
        <v>0</v>
      </c>
      <c r="D12" s="3">
        <v>194835705</v>
      </c>
      <c r="E12" s="3">
        <v>196335705</v>
      </c>
      <c r="G12" s="3">
        <v>194835705</v>
      </c>
      <c r="H12" s="3">
        <v>1500000</v>
      </c>
      <c r="J12" s="3">
        <v>0</v>
      </c>
      <c r="K12" s="3">
        <v>14987362</v>
      </c>
      <c r="L12" s="3">
        <v>195585705</v>
      </c>
      <c r="N12" s="3">
        <v>14987362</v>
      </c>
      <c r="O12" s="3">
        <v>180598343</v>
      </c>
    </row>
    <row r="13" spans="2:15">
      <c r="B13" t="s">
        <v>670</v>
      </c>
      <c r="C13" s="3">
        <v>52928603</v>
      </c>
      <c r="D13" s="3">
        <v>52928603</v>
      </c>
      <c r="E13" s="3">
        <v>52928603</v>
      </c>
      <c r="G13" s="3">
        <v>0</v>
      </c>
      <c r="H13" s="3">
        <v>0</v>
      </c>
      <c r="J13" s="3">
        <v>41633591</v>
      </c>
      <c r="K13" s="3">
        <v>52928603</v>
      </c>
      <c r="L13" s="3">
        <v>52928603</v>
      </c>
      <c r="N13" s="3">
        <v>11295012</v>
      </c>
      <c r="O13" s="3">
        <v>0</v>
      </c>
    </row>
    <row r="14" spans="2:15">
      <c r="B14" s="36" t="s">
        <v>671</v>
      </c>
      <c r="C14" s="3">
        <v>57073072</v>
      </c>
      <c r="D14" s="3">
        <v>57073072</v>
      </c>
      <c r="E14" s="3">
        <v>57073072</v>
      </c>
      <c r="G14" s="3">
        <v>0</v>
      </c>
      <c r="H14" s="3">
        <v>0</v>
      </c>
      <c r="J14" s="3">
        <v>38520752</v>
      </c>
      <c r="K14" s="3">
        <v>57073072</v>
      </c>
      <c r="L14" s="3">
        <v>57073072</v>
      </c>
      <c r="N14" s="3">
        <v>18552320</v>
      </c>
      <c r="O14" s="3">
        <v>0</v>
      </c>
    </row>
    <row r="15" spans="2:15">
      <c r="B15" t="s">
        <v>672</v>
      </c>
      <c r="C15" s="3">
        <v>32508150</v>
      </c>
      <c r="D15" s="3">
        <v>32508150</v>
      </c>
      <c r="E15" s="3">
        <v>32508150</v>
      </c>
      <c r="G15" s="3">
        <v>0</v>
      </c>
      <c r="H15" s="3">
        <v>0</v>
      </c>
      <c r="J15" s="3">
        <v>20819333</v>
      </c>
      <c r="K15" s="3">
        <v>32508150</v>
      </c>
      <c r="L15" s="3">
        <v>32508150</v>
      </c>
      <c r="N15" s="3">
        <v>11688817</v>
      </c>
      <c r="O15" s="3">
        <v>0</v>
      </c>
    </row>
    <row r="16" spans="2:15">
      <c r="B16" t="s">
        <v>673</v>
      </c>
      <c r="C16" s="3">
        <v>4834658</v>
      </c>
      <c r="D16" s="3">
        <v>4834658</v>
      </c>
      <c r="E16" s="3">
        <v>4834658</v>
      </c>
      <c r="G16" s="3">
        <v>0</v>
      </c>
      <c r="H16" s="3">
        <v>0</v>
      </c>
      <c r="J16" s="3">
        <v>371897</v>
      </c>
      <c r="K16" s="3">
        <v>4834658</v>
      </c>
      <c r="L16" s="3">
        <v>4834658</v>
      </c>
      <c r="N16" s="3">
        <v>4462761</v>
      </c>
      <c r="O16" s="3">
        <v>0</v>
      </c>
    </row>
    <row r="17" spans="2:15">
      <c r="B17" t="s">
        <v>674</v>
      </c>
      <c r="C17" s="3">
        <v>0</v>
      </c>
      <c r="D17" s="3">
        <v>94602876</v>
      </c>
      <c r="E17" s="3">
        <v>94602876</v>
      </c>
      <c r="G17" s="3">
        <v>94602876</v>
      </c>
      <c r="H17" s="3">
        <v>0</v>
      </c>
      <c r="J17" s="3">
        <v>0</v>
      </c>
      <c r="K17" s="3">
        <v>14671389</v>
      </c>
      <c r="L17" s="3">
        <v>94602876</v>
      </c>
      <c r="N17" s="3">
        <v>14671389</v>
      </c>
      <c r="O17" s="3">
        <v>79931487</v>
      </c>
    </row>
    <row r="18" spans="2:15">
      <c r="B18" t="s">
        <v>675</v>
      </c>
      <c r="C18" s="37">
        <f>SUM(C4:C17)</f>
        <v>1176476952</v>
      </c>
      <c r="D18" s="37">
        <f t="shared" ref="D18:E18" si="0">SUM(D4:D17)</f>
        <v>1858696702</v>
      </c>
      <c r="E18" s="37">
        <f t="shared" si="0"/>
        <v>1860451702</v>
      </c>
      <c r="G18" s="38">
        <f t="shared" ref="G18:H18" si="1">SUM(G4:G17)</f>
        <v>682219750</v>
      </c>
      <c r="H18" s="38">
        <f t="shared" si="1"/>
        <v>1755000</v>
      </c>
      <c r="J18" s="39">
        <f>SUM(J4:J17)</f>
        <v>580435816</v>
      </c>
      <c r="K18" s="38">
        <f>SUM(K4:K17)</f>
        <v>1339666670</v>
      </c>
      <c r="L18" s="38">
        <f>SUM(L4:L17)</f>
        <v>1859642087</v>
      </c>
      <c r="N18" s="39">
        <f t="shared" ref="N18:O18" si="2">SUM(N4:N17)</f>
        <v>759230854</v>
      </c>
      <c r="O18" s="39">
        <f t="shared" si="2"/>
        <v>519975417</v>
      </c>
    </row>
    <row r="20" spans="2:15">
      <c r="B20" s="40" t="s">
        <v>676</v>
      </c>
    </row>
  </sheetData>
  <mergeCells count="4">
    <mergeCell ref="C2:E2"/>
    <mergeCell ref="G2:H2"/>
    <mergeCell ref="J2:L2"/>
    <mergeCell ref="N2:O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3B881-0F70-43E1-A128-073B0235461D}"/>
</file>

<file path=customXml/itemProps2.xml><?xml version="1.0" encoding="utf-8"?>
<ds:datastoreItem xmlns:ds="http://schemas.openxmlformats.org/officeDocument/2006/customXml" ds:itemID="{EB246C0E-3C24-4CC4-AC86-D615D4393355}"/>
</file>

<file path=customXml/itemProps3.xml><?xml version="1.0" encoding="utf-8"?>
<ds:datastoreItem xmlns:ds="http://schemas.openxmlformats.org/officeDocument/2006/customXml" ds:itemID="{8649BD35-7EAD-4C11-B9B0-55875523CA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Brown, Paula K.</cp:lastModifiedBy>
  <cp:revision>1</cp:revision>
  <dcterms:created xsi:type="dcterms:W3CDTF">2024-04-09T17:47:38Z</dcterms:created>
  <dcterms:modified xsi:type="dcterms:W3CDTF">2024-04-09T17:47:52Z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2024-04-09T17:47:40Z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6f1f840b-d6b8-488e-97ea-1b13a73b6d2c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776600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