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Property11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2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 defaultThemeVersion="166925"/>
  <xr:revisionPtr revIDLastSave="0" documentId="13_ncr:1_{54BE695B-BFBF-4246-9A16-21C4A8E33B96}" xr6:coauthVersionLast="47" xr6:coauthVersionMax="47" xr10:uidLastSave="{00000000-0000-0000-0000-000000000000}"/>
  <bookViews>
    <workbookView xWindow="28680" yWindow="-120" windowWidth="29040" windowHeight="15840" firstSheet="8" activeTab="11" xr2:uid="{8FE50105-0CC5-410D-B667-1B79DF47E4A3}"/>
  </bookViews>
  <sheets>
    <sheet name="2025 Billing Determinants" sheetId="1" r:id="rId1"/>
    <sheet name="AMI Opt Out" sheetId="32" r:id="rId2"/>
    <sheet name="CISR &amp; EDR" sheetId="33" r:id="rId3"/>
    <sheet name="2026 Base Rates" sheetId="8" r:id="rId4"/>
    <sheet name="2025 Lighting BDs" sheetId="26" r:id="rId5"/>
    <sheet name="2026 Lighting Rates" sheetId="27" r:id="rId6"/>
    <sheet name="LS-2 Facilities Input" sheetId="31" r:id="rId7"/>
    <sheet name="Senior Care Program Estimate" sheetId="37" r:id="rId8"/>
    <sheet name="Operating Revenue Requirement" sheetId="10" r:id="rId9"/>
    <sheet name="A-2 for RS_GS_GSD" sheetId="38" r:id="rId10"/>
    <sheet name="A-2 FOR GSLDPR_GSLDTPR_GSLDSU" sheetId="39" r:id="rId11"/>
    <sheet name="A-3" sheetId="40" r:id="rId12"/>
    <sheet name="E-13a" sheetId="13" r:id="rId13"/>
    <sheet name="Cover Page E-13c" sheetId="9" r:id="rId14"/>
    <sheet name="2027 RS Rate Class E-13c" sheetId="3" r:id="rId15"/>
    <sheet name="2027 GS Rate Class E-13c" sheetId="4" r:id="rId16"/>
    <sheet name="2027 GSD Rate Class E-13c" sheetId="5" r:id="rId17"/>
    <sheet name="2027 GSLDPR Rate Class E-13c" sheetId="6" r:id="rId18"/>
    <sheet name="2027 GSLDSU Rate Class E-13c" sheetId="11" r:id="rId19"/>
    <sheet name="2027 LS Rate Class E-13c" sheetId="7" r:id="rId20"/>
    <sheet name="E-13d" sheetId="24" r:id="rId21"/>
    <sheet name="2027 Base Rates" sheetId="14" r:id="rId22"/>
  </sheets>
  <definedNames>
    <definedName name="\S">#REF!</definedName>
    <definedName name="_12MEACT">#REF!</definedName>
    <definedName name="_12MEBUD">#REF!</definedName>
    <definedName name="_Key1" hidden="1">#REF!</definedName>
    <definedName name="_Order1" hidden="1">255</definedName>
    <definedName name="_Sort" hidden="1">#REF!</definedName>
    <definedName name="a">#REF!</definedName>
    <definedName name="ADJTS">#REF!</definedName>
    <definedName name="AP_OTHER">#REF!</definedName>
    <definedName name="ASSUMPTIONS">#REF!</definedName>
    <definedName name="BAL">#REF!</definedName>
    <definedName name="BalDat">#REF!</definedName>
    <definedName name="BalDatData">#REF!</definedName>
    <definedName name="BegMonth">#REF!</definedName>
    <definedName name="BENEFITS_EXP">#REF!</definedName>
    <definedName name="BS_Forecast">#REF!</definedName>
    <definedName name="BS_Plan">#REF!</definedName>
    <definedName name="BS_Plan2">#REF!</definedName>
    <definedName name="BTLTAX">#REF!</definedName>
    <definedName name="BTLTAXES">#REF!</definedName>
    <definedName name="BTLTXBUD">#REF!</definedName>
    <definedName name="CASHFLS">#REF!</definedName>
    <definedName name="CF_Forecast">#REF!</definedName>
    <definedName name="CF_Plan2">#REF!</definedName>
    <definedName name="CMACT">#REF!</definedName>
    <definedName name="CMBUD">#REF!</definedName>
    <definedName name="CONSCF4A">#REF!</definedName>
    <definedName name="CONSCF4B">#REF!</definedName>
    <definedName name="CONSOLP1">#REF!</definedName>
    <definedName name="CONSOLP2">#REF!</definedName>
    <definedName name="CONSOLP3">#REF!</definedName>
    <definedName name="CONSOLP4">#REF!</definedName>
    <definedName name="DAT">#REF!</definedName>
    <definedName name="DEC">#REF!</definedName>
    <definedName name="DEC_Proj">#REF!</definedName>
    <definedName name="DETAIL146234">#REF!</definedName>
    <definedName name="docket">#REF!</definedName>
    <definedName name="DocketNum">#REF!</definedName>
    <definedName name="DocKetNumber">#REF!</definedName>
    <definedName name="DOWNLOAD">#REF!</definedName>
    <definedName name="DOWNLOAD_1099">#REF!</definedName>
    <definedName name="EGY12MIS">#REF!</definedName>
    <definedName name="EGYASSTS">#REF!</definedName>
    <definedName name="EGYCFSCH">#REF!</definedName>
    <definedName name="EGYCMIS">#REF!</definedName>
    <definedName name="EGYLIABS">#REF!</definedName>
    <definedName name="EGYPCFSH">#REF!</definedName>
    <definedName name="EGYPCFSHPORT">#REF!</definedName>
    <definedName name="EGYPRIS">#REF!</definedName>
    <definedName name="EGYRESCH">#REF!</definedName>
    <definedName name="ESOP_GOAL">#REF!</definedName>
    <definedName name="ESOPWP">#REF!</definedName>
    <definedName name="F">#REF!</definedName>
    <definedName name="FOR_DENISE_O.">#REF!</definedName>
    <definedName name="FullDocketNumber">#REF!</definedName>
    <definedName name="GLDOWNLOAD">#REF!</definedName>
    <definedName name="HistYear">#REF!</definedName>
    <definedName name="IncTax_GainDisp">#REF!</definedName>
    <definedName name="intangibles">#REF!</definedName>
    <definedName name="INTEXP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ULTIFAMILY_RESIDENTIAL_LOANS_FDIC" hidden="1">"c6311"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S_Forecast">#REF!</definedName>
    <definedName name="IS_Monthly">#REF!</definedName>
    <definedName name="IS_Plan">#REF!</definedName>
    <definedName name="IS_Plan2">#REF!</definedName>
    <definedName name="LORICLARKDATA">#REF!</definedName>
    <definedName name="Meter_Type_1">#REF!</definedName>
    <definedName name="Meter_Type_10">#REF!</definedName>
    <definedName name="Meter_Type_2">#REF!</definedName>
    <definedName name="Meter_Type_3">#REF!</definedName>
    <definedName name="Meter_Type_4">#REF!</definedName>
    <definedName name="Meter_Type_5">#REF!</definedName>
    <definedName name="Meter_Type_6">#REF!</definedName>
    <definedName name="Meter_Type_7">#REF!</definedName>
    <definedName name="Meter_Type_8">#REF!</definedName>
    <definedName name="Meter_Type_9">#REF!</definedName>
    <definedName name="No_Cust_GS_1PH_Egy">#REF!</definedName>
    <definedName name="No_Cust_GS_1PH_TOU">#REF!</definedName>
    <definedName name="No_Cust_GS_3PH_EGY">#REF!</definedName>
    <definedName name="No_Cust_GS_3PH_TOU">#REF!</definedName>
    <definedName name="No_Cust_GSD_Pri_Dem">#REF!</definedName>
    <definedName name="No_Cust_GSD_Pri_Rec">#REF!</definedName>
    <definedName name="No_Cust_GSD_Sec_Dem">#REF!</definedName>
    <definedName name="No_Cust_GSD_Sec_Egy">#REF!</definedName>
    <definedName name="No_Cust_GSLD_Pri_Rec">#REF!</definedName>
    <definedName name="No_Cust_GSLD_Sec_Rec">#REF!</definedName>
    <definedName name="No_Cust_GSLD_TRANSM">#REF!</definedName>
    <definedName name="No_Cust_IS_Pri">#REF!</definedName>
    <definedName name="No_Cust_IS_TRANSM">#REF!</definedName>
    <definedName name="No_Cust_RS_1PH">#REF!</definedName>
    <definedName name="No_Cust_RS_AMR">#REF!</definedName>
    <definedName name="No_Cust_RS_TOU">#REF!</definedName>
    <definedName name="No_Cust_SL_OL">#REF!</definedName>
    <definedName name="NOI">#REF!</definedName>
    <definedName name="OTHER_CF">#REF!</definedName>
    <definedName name="OTHER_CR">#REF!</definedName>
    <definedName name="P_10">#REF!</definedName>
    <definedName name="P_4">#REF!</definedName>
    <definedName name="P_9">#REF!</definedName>
    <definedName name="PAGE10">#REF!</definedName>
    <definedName name="PAGE1A">#REF!</definedName>
    <definedName name="PAGE1C">#REF!</definedName>
    <definedName name="PAGE1D">#REF!</definedName>
    <definedName name="PAGE1D2">#REF!</definedName>
    <definedName name="PAGE2A">#REF!</definedName>
    <definedName name="PAGE2B">#REF!</definedName>
    <definedName name="PAGE4">#REF!</definedName>
    <definedName name="PAGE4B">#REF!</definedName>
    <definedName name="PAGE4C">#REF!</definedName>
    <definedName name="PAGE4D">#REF!</definedName>
    <definedName name="PAGE4E">#REF!</definedName>
    <definedName name="PAGE6">#REF!</definedName>
    <definedName name="PAGE6B">#REF!</definedName>
    <definedName name="PAGE7">#REF!</definedName>
    <definedName name="PAGE8">#REF!</definedName>
    <definedName name="PAGE9">#REF!</definedName>
    <definedName name="PE_CPYIS">#REF!</definedName>
    <definedName name="PLine1">#REF!</definedName>
    <definedName name="PLine2">#REF!</definedName>
    <definedName name="PLine3">#REF!</definedName>
    <definedName name="PLine4">#REF!</definedName>
    <definedName name="PP_51004_NO_CB">#REF!</definedName>
    <definedName name="_xlnm.Print_Area" localSheetId="15">'2027 GS Rate Class E-13c'!$D$57:$V$110</definedName>
    <definedName name="_xlnm.Print_Area" localSheetId="16">'2027 GSD Rate Class E-13c'!$E$327:$W$380</definedName>
    <definedName name="_xlnm.Print_Area" localSheetId="17">'2027 GSLDPR Rate Class E-13c'!$D$111:$V$164</definedName>
    <definedName name="_xlnm.Print_Area" localSheetId="18">'2027 GSLDSU Rate Class E-13c'!$D$111:$V$164</definedName>
    <definedName name="_xlnm.Print_Area" localSheetId="19">'2027 LS Rate Class E-13c'!$D$3:$V$56</definedName>
    <definedName name="_xlnm.Print_Area" localSheetId="14">'2027 RS Rate Class E-13c'!$D$3:$V$56</definedName>
    <definedName name="_xlnm.Print_Area" localSheetId="13">'Cover Page E-13c'!$A$2:$S$55</definedName>
    <definedName name="_xlnm.Print_Area" localSheetId="12">'E-13a'!$A$1:$R$63</definedName>
    <definedName name="_xlnm.Print_Area" localSheetId="20">'E-13d'!$D$1:$T$364</definedName>
    <definedName name="printa1a_d12">#N/A</definedName>
    <definedName name="PriorYear">#REF!</definedName>
    <definedName name="PYEGYASSTS">#REF!</definedName>
    <definedName name="PYEGYLIABS">#REF!</definedName>
    <definedName name="PYISWP">#REF!</definedName>
    <definedName name="RECON_ASSETS">#REF!</definedName>
    <definedName name="RECON_LIABILITIES">#REF!</definedName>
    <definedName name="RECON_SUMMARY">#REF!</definedName>
    <definedName name="ROE_COMPARISON">#REF!</definedName>
    <definedName name="s">#REF!</definedName>
    <definedName name="ScheduleData">#REF!</definedName>
    <definedName name="solver_adj" localSheetId="15" hidden="1">'2027 GS Rate Class E-13c'!$B$7</definedName>
    <definedName name="solver_adj" localSheetId="16" hidden="1">'2027 GSD Rate Class E-13c'!$C$7</definedName>
    <definedName name="solver_adj" localSheetId="17" hidden="1">'2027 GSLDPR Rate Class E-13c'!$B$7</definedName>
    <definedName name="solver_adj" localSheetId="18" hidden="1">'2027 GSLDSU Rate Class E-13c'!$B$7</definedName>
    <definedName name="solver_adj" localSheetId="19" hidden="1">'2027 LS Rate Class E-13c'!$B$7</definedName>
    <definedName name="solver_adj" localSheetId="14" hidden="1">'2027 RS Rate Class E-13c'!$B$7</definedName>
    <definedName name="solver_adj" localSheetId="20" hidden="1">'E-13d'!$B$4</definedName>
    <definedName name="solver_cvg" localSheetId="15" hidden="1">0.0001</definedName>
    <definedName name="solver_cvg" localSheetId="16" hidden="1">0.0001</definedName>
    <definedName name="solver_cvg" localSheetId="17" hidden="1">0.0001</definedName>
    <definedName name="solver_cvg" localSheetId="18" hidden="1">0.0001</definedName>
    <definedName name="solver_cvg" localSheetId="19" hidden="1">0.0001</definedName>
    <definedName name="solver_cvg" localSheetId="14" hidden="1">0.0001</definedName>
    <definedName name="solver_cvg" localSheetId="20" hidden="1">0.0001</definedName>
    <definedName name="solver_drv" localSheetId="15" hidden="1">1</definedName>
    <definedName name="solver_drv" localSheetId="16" hidden="1">1</definedName>
    <definedName name="solver_drv" localSheetId="17" hidden="1">1</definedName>
    <definedName name="solver_drv" localSheetId="18" hidden="1">1</definedName>
    <definedName name="solver_drv" localSheetId="19" hidden="1">1</definedName>
    <definedName name="solver_drv" localSheetId="14" hidden="1">1</definedName>
    <definedName name="solver_drv" localSheetId="20" hidden="1">1</definedName>
    <definedName name="solver_eng" localSheetId="15" hidden="1">1</definedName>
    <definedName name="solver_eng" localSheetId="16" hidden="1">1</definedName>
    <definedName name="solver_eng" localSheetId="17" hidden="1">1</definedName>
    <definedName name="solver_eng" localSheetId="18" hidden="1">1</definedName>
    <definedName name="solver_eng" localSheetId="19" hidden="1">1</definedName>
    <definedName name="solver_eng" localSheetId="14" hidden="1">1</definedName>
    <definedName name="solver_eng" localSheetId="20" hidden="1">1</definedName>
    <definedName name="solver_est" localSheetId="15" hidden="1">1</definedName>
    <definedName name="solver_est" localSheetId="16" hidden="1">1</definedName>
    <definedName name="solver_est" localSheetId="17" hidden="1">1</definedName>
    <definedName name="solver_est" localSheetId="18" hidden="1">1</definedName>
    <definedName name="solver_est" localSheetId="19" hidden="1">1</definedName>
    <definedName name="solver_est" localSheetId="14" hidden="1">1</definedName>
    <definedName name="solver_est" localSheetId="20" hidden="1">1</definedName>
    <definedName name="solver_itr" localSheetId="15" hidden="1">2147483647</definedName>
    <definedName name="solver_itr" localSheetId="16" hidden="1">2147483647</definedName>
    <definedName name="solver_itr" localSheetId="17" hidden="1">2147483647</definedName>
    <definedName name="solver_itr" localSheetId="18" hidden="1">2147483647</definedName>
    <definedName name="solver_itr" localSheetId="19" hidden="1">2147483647</definedName>
    <definedName name="solver_itr" localSheetId="14" hidden="1">2147483647</definedName>
    <definedName name="solver_itr" localSheetId="20" hidden="1">2147483647</definedName>
    <definedName name="solver_mip" localSheetId="15" hidden="1">2147483647</definedName>
    <definedName name="solver_mip" localSheetId="16" hidden="1">2147483647</definedName>
    <definedName name="solver_mip" localSheetId="17" hidden="1">2147483647</definedName>
    <definedName name="solver_mip" localSheetId="18" hidden="1">2147483647</definedName>
    <definedName name="solver_mip" localSheetId="19" hidden="1">2147483647</definedName>
    <definedName name="solver_mip" localSheetId="14" hidden="1">2147483647</definedName>
    <definedName name="solver_mip" localSheetId="20" hidden="1">2147483647</definedName>
    <definedName name="solver_mni" localSheetId="15" hidden="1">30</definedName>
    <definedName name="solver_mni" localSheetId="16" hidden="1">30</definedName>
    <definedName name="solver_mni" localSheetId="17" hidden="1">30</definedName>
    <definedName name="solver_mni" localSheetId="18" hidden="1">30</definedName>
    <definedName name="solver_mni" localSheetId="19" hidden="1">30</definedName>
    <definedName name="solver_mni" localSheetId="14" hidden="1">30</definedName>
    <definedName name="solver_mni" localSheetId="20" hidden="1">30</definedName>
    <definedName name="solver_mrt" localSheetId="15" hidden="1">0.075</definedName>
    <definedName name="solver_mrt" localSheetId="16" hidden="1">0.075</definedName>
    <definedName name="solver_mrt" localSheetId="17" hidden="1">0.075</definedName>
    <definedName name="solver_mrt" localSheetId="18" hidden="1">0.075</definedName>
    <definedName name="solver_mrt" localSheetId="19" hidden="1">0.075</definedName>
    <definedName name="solver_mrt" localSheetId="14" hidden="1">0.075</definedName>
    <definedName name="solver_mrt" localSheetId="20" hidden="1">0.075</definedName>
    <definedName name="solver_msl" localSheetId="15" hidden="1">2</definedName>
    <definedName name="solver_msl" localSheetId="16" hidden="1">2</definedName>
    <definedName name="solver_msl" localSheetId="17" hidden="1">2</definedName>
    <definedName name="solver_msl" localSheetId="18" hidden="1">2</definedName>
    <definedName name="solver_msl" localSheetId="19" hidden="1">2</definedName>
    <definedName name="solver_msl" localSheetId="14" hidden="1">2</definedName>
    <definedName name="solver_msl" localSheetId="20" hidden="1">2</definedName>
    <definedName name="solver_neg" localSheetId="15" hidden="1">2</definedName>
    <definedName name="solver_neg" localSheetId="16" hidden="1">2</definedName>
    <definedName name="solver_neg" localSheetId="17" hidden="1">2</definedName>
    <definedName name="solver_neg" localSheetId="18" hidden="1">2</definedName>
    <definedName name="solver_neg" localSheetId="19" hidden="1">1</definedName>
    <definedName name="solver_neg" localSheetId="14" hidden="1">2</definedName>
    <definedName name="solver_neg" localSheetId="20" hidden="1">2</definedName>
    <definedName name="solver_nod" localSheetId="15" hidden="1">2147483647</definedName>
    <definedName name="solver_nod" localSheetId="16" hidden="1">2147483647</definedName>
    <definedName name="solver_nod" localSheetId="17" hidden="1">2147483647</definedName>
    <definedName name="solver_nod" localSheetId="18" hidden="1">2147483647</definedName>
    <definedName name="solver_nod" localSheetId="19" hidden="1">2147483647</definedName>
    <definedName name="solver_nod" localSheetId="14" hidden="1">2147483647</definedName>
    <definedName name="solver_nod" localSheetId="20" hidden="1">2147483647</definedName>
    <definedName name="solver_num" localSheetId="15" hidden="1">0</definedName>
    <definedName name="solver_num" localSheetId="16" hidden="1">0</definedName>
    <definedName name="solver_num" localSheetId="17" hidden="1">0</definedName>
    <definedName name="solver_num" localSheetId="18" hidden="1">0</definedName>
    <definedName name="solver_num" localSheetId="19" hidden="1">0</definedName>
    <definedName name="solver_num" localSheetId="14" hidden="1">0</definedName>
    <definedName name="solver_num" localSheetId="20" hidden="1">0</definedName>
    <definedName name="solver_nwt" localSheetId="15" hidden="1">1</definedName>
    <definedName name="solver_nwt" localSheetId="16" hidden="1">1</definedName>
    <definedName name="solver_nwt" localSheetId="17" hidden="1">1</definedName>
    <definedName name="solver_nwt" localSheetId="18" hidden="1">1</definedName>
    <definedName name="solver_nwt" localSheetId="19" hidden="1">1</definedName>
    <definedName name="solver_nwt" localSheetId="14" hidden="1">1</definedName>
    <definedName name="solver_nwt" localSheetId="20" hidden="1">1</definedName>
    <definedName name="solver_opt" localSheetId="15" hidden="1">'2027 GS Rate Class E-13c'!$B$8</definedName>
    <definedName name="solver_opt" localSheetId="16" hidden="1">'2027 GSD Rate Class E-13c'!$C$8</definedName>
    <definedName name="solver_opt" localSheetId="17" hidden="1">'2027 GSLDPR Rate Class E-13c'!$B$8</definedName>
    <definedName name="solver_opt" localSheetId="18" hidden="1">'2027 GSLDSU Rate Class E-13c'!$B$8</definedName>
    <definedName name="solver_opt" localSheetId="19" hidden="1">'2027 LS Rate Class E-13c'!$B$8</definedName>
    <definedName name="solver_opt" localSheetId="14" hidden="1">'2027 RS Rate Class E-13c'!$B$8</definedName>
    <definedName name="solver_opt" localSheetId="20" hidden="1">'E-13d'!$B$5</definedName>
    <definedName name="solver_pre" localSheetId="15" hidden="1">0.000001</definedName>
    <definedName name="solver_pre" localSheetId="16" hidden="1">0.000001</definedName>
    <definedName name="solver_pre" localSheetId="17" hidden="1">0.000001</definedName>
    <definedName name="solver_pre" localSheetId="18" hidden="1">0.000001</definedName>
    <definedName name="solver_pre" localSheetId="19" hidden="1">0.000001</definedName>
    <definedName name="solver_pre" localSheetId="14" hidden="1">0.000001</definedName>
    <definedName name="solver_pre" localSheetId="20" hidden="1">0.000001</definedName>
    <definedName name="solver_rbv" localSheetId="15" hidden="1">1</definedName>
    <definedName name="solver_rbv" localSheetId="16" hidden="1">1</definedName>
    <definedName name="solver_rbv" localSheetId="17" hidden="1">1</definedName>
    <definedName name="solver_rbv" localSheetId="18" hidden="1">1</definedName>
    <definedName name="solver_rbv" localSheetId="19" hidden="1">1</definedName>
    <definedName name="solver_rbv" localSheetId="14" hidden="1">1</definedName>
    <definedName name="solver_rbv" localSheetId="20" hidden="1">1</definedName>
    <definedName name="solver_rlx" localSheetId="15" hidden="1">2</definedName>
    <definedName name="solver_rlx" localSheetId="16" hidden="1">2</definedName>
    <definedName name="solver_rlx" localSheetId="17" hidden="1">2</definedName>
    <definedName name="solver_rlx" localSheetId="18" hidden="1">2</definedName>
    <definedName name="solver_rlx" localSheetId="19" hidden="1">2</definedName>
    <definedName name="solver_rlx" localSheetId="14" hidden="1">2</definedName>
    <definedName name="solver_rlx" localSheetId="20" hidden="1">2</definedName>
    <definedName name="solver_rsd" localSheetId="15" hidden="1">0</definedName>
    <definedName name="solver_rsd" localSheetId="16" hidden="1">0</definedName>
    <definedName name="solver_rsd" localSheetId="17" hidden="1">0</definedName>
    <definedName name="solver_rsd" localSheetId="18" hidden="1">0</definedName>
    <definedName name="solver_rsd" localSheetId="19" hidden="1">0</definedName>
    <definedName name="solver_rsd" localSheetId="14" hidden="1">0</definedName>
    <definedName name="solver_rsd" localSheetId="20" hidden="1">0</definedName>
    <definedName name="solver_scl" localSheetId="15" hidden="1">1</definedName>
    <definedName name="solver_scl" localSheetId="16" hidden="1">1</definedName>
    <definedName name="solver_scl" localSheetId="17" hidden="1">1</definedName>
    <definedName name="solver_scl" localSheetId="18" hidden="1">1</definedName>
    <definedName name="solver_scl" localSheetId="19" hidden="1">1</definedName>
    <definedName name="solver_scl" localSheetId="14" hidden="1">1</definedName>
    <definedName name="solver_scl" localSheetId="20" hidden="1">1</definedName>
    <definedName name="solver_sho" localSheetId="15" hidden="1">2</definedName>
    <definedName name="solver_sho" localSheetId="16" hidden="1">2</definedName>
    <definedName name="solver_sho" localSheetId="17" hidden="1">2</definedName>
    <definedName name="solver_sho" localSheetId="18" hidden="1">2</definedName>
    <definedName name="solver_sho" localSheetId="19" hidden="1">2</definedName>
    <definedName name="solver_sho" localSheetId="14" hidden="1">2</definedName>
    <definedName name="solver_sho" localSheetId="20" hidden="1">2</definedName>
    <definedName name="solver_ssz" localSheetId="15" hidden="1">100</definedName>
    <definedName name="solver_ssz" localSheetId="16" hidden="1">100</definedName>
    <definedName name="solver_ssz" localSheetId="17" hidden="1">100</definedName>
    <definedName name="solver_ssz" localSheetId="18" hidden="1">100</definedName>
    <definedName name="solver_ssz" localSheetId="19" hidden="1">100</definedName>
    <definedName name="solver_ssz" localSheetId="14" hidden="1">100</definedName>
    <definedName name="solver_ssz" localSheetId="20" hidden="1">100</definedName>
    <definedName name="solver_tim" localSheetId="15" hidden="1">2147483647</definedName>
    <definedName name="solver_tim" localSheetId="16" hidden="1">2147483647</definedName>
    <definedName name="solver_tim" localSheetId="17" hidden="1">2147483647</definedName>
    <definedName name="solver_tim" localSheetId="18" hidden="1">2147483647</definedName>
    <definedName name="solver_tim" localSheetId="19" hidden="1">2147483647</definedName>
    <definedName name="solver_tim" localSheetId="14" hidden="1">2147483647</definedName>
    <definedName name="solver_tim" localSheetId="20" hidden="1">2147483647</definedName>
    <definedName name="solver_tol" localSheetId="15" hidden="1">0.01</definedName>
    <definedName name="solver_tol" localSheetId="16" hidden="1">0.01</definedName>
    <definedName name="solver_tol" localSheetId="17" hidden="1">0.01</definedName>
    <definedName name="solver_tol" localSheetId="18" hidden="1">0.01</definedName>
    <definedName name="solver_tol" localSheetId="19" hidden="1">0.01</definedName>
    <definedName name="solver_tol" localSheetId="14" hidden="1">0.01</definedName>
    <definedName name="solver_tol" localSheetId="20" hidden="1">0.01</definedName>
    <definedName name="solver_typ" localSheetId="15" hidden="1">3</definedName>
    <definedName name="solver_typ" localSheetId="16" hidden="1">3</definedName>
    <definedName name="solver_typ" localSheetId="17" hidden="1">3</definedName>
    <definedName name="solver_typ" localSheetId="18" hidden="1">3</definedName>
    <definedName name="solver_typ" localSheetId="19" hidden="1">3</definedName>
    <definedName name="solver_typ" localSheetId="14" hidden="1">3</definedName>
    <definedName name="solver_typ" localSheetId="20" hidden="1">3</definedName>
    <definedName name="solver_val" localSheetId="15" hidden="1">109319536</definedName>
    <definedName name="solver_val" localSheetId="16" hidden="1">452943704</definedName>
    <definedName name="solver_val" localSheetId="17" hidden="1">52781641</definedName>
    <definedName name="solver_val" localSheetId="18" hidden="1">33055704</definedName>
    <definedName name="solver_val" localSheetId="19" hidden="1">3573047</definedName>
    <definedName name="solver_val" localSheetId="14" hidden="1">1211893579</definedName>
    <definedName name="solver_val" localSheetId="20" hidden="1">82707821</definedName>
    <definedName name="solver_ver" localSheetId="15" hidden="1">3</definedName>
    <definedName name="solver_ver" localSheetId="16" hidden="1">3</definedName>
    <definedName name="solver_ver" localSheetId="17" hidden="1">3</definedName>
    <definedName name="solver_ver" localSheetId="18" hidden="1">3</definedName>
    <definedName name="solver_ver" localSheetId="19" hidden="1">3</definedName>
    <definedName name="solver_ver" localSheetId="14" hidden="1">3</definedName>
    <definedName name="solver_ver" localSheetId="20" hidden="1">3</definedName>
    <definedName name="SURV">#REF!</definedName>
    <definedName name="TEFIS">#REF!</definedName>
    <definedName name="TEFIS2">#REF!</definedName>
    <definedName name="TestYear">#REF!</definedName>
    <definedName name="TYL1_">#REF!</definedName>
    <definedName name="TYL2_">#REF!</definedName>
    <definedName name="TYL3_">#REF!</definedName>
    <definedName name="WC_AVG">#REF!</definedName>
    <definedName name="WC_CHECK">#REF!</definedName>
    <definedName name="WC_FUEL_CONSRV_ECRC">#REF!</definedName>
    <definedName name="WC_INVESTOR_Funds">#REF!</definedName>
    <definedName name="WC_NONUTILITY_Assets">#REF!</definedName>
    <definedName name="WC_NONUTILITY_Liabilities">#REF!</definedName>
    <definedName name="WC_OTHER_Adjustments">#REF!</definedName>
    <definedName name="WC_OTHERRETURN_Assets">#REF!</definedName>
    <definedName name="WC_OTHERRETURN_Liabilities">#REF!</definedName>
    <definedName name="WC_SCH_Assets">#REF!</definedName>
    <definedName name="WC_SCH_Liabilities">#REF!</definedName>
    <definedName name="WC_SUMMARY">#REF!</definedName>
    <definedName name="YTDACT">#REF!</definedName>
    <definedName name="YTDBU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92" i="40" l="1"/>
  <c r="N589" i="40"/>
  <c r="N570" i="40"/>
  <c r="N568" i="40"/>
  <c r="N566" i="40"/>
  <c r="N565" i="40"/>
  <c r="N562" i="40"/>
  <c r="N559" i="40"/>
  <c r="N558" i="40"/>
  <c r="N556" i="40"/>
  <c r="N553" i="40"/>
  <c r="N552" i="40"/>
  <c r="N551" i="40"/>
  <c r="N550" i="40"/>
  <c r="N547" i="40"/>
  <c r="N546" i="40"/>
  <c r="N545" i="40"/>
  <c r="N542" i="40"/>
  <c r="N541" i="40"/>
  <c r="N507" i="40"/>
  <c r="Q507" i="40" s="1"/>
  <c r="N506" i="40"/>
  <c r="N502" i="40"/>
  <c r="N500" i="40"/>
  <c r="Q500" i="40" s="1"/>
  <c r="N498" i="40"/>
  <c r="Q498" i="40" s="1"/>
  <c r="N497" i="40"/>
  <c r="N469" i="40"/>
  <c r="N468" i="40"/>
  <c r="Q468" i="40" s="1"/>
  <c r="N465" i="40"/>
  <c r="Q465" i="40" s="1"/>
  <c r="N464" i="40"/>
  <c r="N462" i="40"/>
  <c r="N459" i="40"/>
  <c r="Q459" i="40" s="1"/>
  <c r="N458" i="40"/>
  <c r="Q458" i="40" s="1"/>
  <c r="N457" i="40"/>
  <c r="N456" i="40"/>
  <c r="N453" i="40"/>
  <c r="Q453" i="40" s="1"/>
  <c r="N452" i="40"/>
  <c r="Q452" i="40" s="1"/>
  <c r="N451" i="40"/>
  <c r="N448" i="40"/>
  <c r="N447" i="40"/>
  <c r="Q447" i="40" s="1"/>
  <c r="N416" i="40"/>
  <c r="Q416" i="40" s="1"/>
  <c r="N414" i="40"/>
  <c r="N412" i="40"/>
  <c r="N410" i="40"/>
  <c r="Q410" i="40" s="1"/>
  <c r="N409" i="40"/>
  <c r="Q409" i="40" s="1"/>
  <c r="N408" i="40"/>
  <c r="N405" i="40"/>
  <c r="N404" i="40"/>
  <c r="N403" i="40"/>
  <c r="Q403" i="40" s="1"/>
  <c r="N402" i="40"/>
  <c r="N399" i="40"/>
  <c r="N398" i="40"/>
  <c r="N372" i="40"/>
  <c r="N371" i="40"/>
  <c r="N368" i="40"/>
  <c r="N366" i="40"/>
  <c r="N364" i="40"/>
  <c r="N362" i="40"/>
  <c r="N361" i="40"/>
  <c r="N360" i="40"/>
  <c r="N357" i="40"/>
  <c r="N356" i="40"/>
  <c r="N355" i="40"/>
  <c r="N354" i="40"/>
  <c r="N351" i="40"/>
  <c r="N350" i="40"/>
  <c r="N328" i="40"/>
  <c r="N327" i="40"/>
  <c r="Q327" i="40" s="1"/>
  <c r="N326" i="40"/>
  <c r="Q326" i="40" s="1"/>
  <c r="N325" i="40"/>
  <c r="N321" i="40"/>
  <c r="N319" i="40"/>
  <c r="Q319" i="40" s="1"/>
  <c r="N316" i="40"/>
  <c r="Q316" i="40" s="1"/>
  <c r="N313" i="40"/>
  <c r="N312" i="40"/>
  <c r="N311" i="40"/>
  <c r="N310" i="40"/>
  <c r="N308" i="40"/>
  <c r="N307" i="40"/>
  <c r="N306" i="40"/>
  <c r="N305" i="40"/>
  <c r="Q305" i="40" s="1"/>
  <c r="N278" i="40"/>
  <c r="N275" i="40"/>
  <c r="N274" i="40"/>
  <c r="N272" i="40"/>
  <c r="N270" i="40"/>
  <c r="N269" i="40"/>
  <c r="N268" i="40"/>
  <c r="N267" i="40"/>
  <c r="N264" i="40"/>
  <c r="N263" i="40"/>
  <c r="N262" i="40"/>
  <c r="N259" i="40"/>
  <c r="N258" i="40"/>
  <c r="N257" i="40"/>
  <c r="N256" i="40"/>
  <c r="N255" i="40"/>
  <c r="N254" i="40"/>
  <c r="N213" i="40"/>
  <c r="N212" i="40"/>
  <c r="Q212" i="40" s="1"/>
  <c r="N211" i="40"/>
  <c r="Q211" i="40" s="1"/>
  <c r="N210" i="40"/>
  <c r="N209" i="40"/>
  <c r="N208" i="40"/>
  <c r="Q208" i="40" s="1"/>
  <c r="N192" i="40"/>
  <c r="Q192" i="40" s="1"/>
  <c r="N191" i="40"/>
  <c r="N190" i="40"/>
  <c r="N187" i="40"/>
  <c r="Q187" i="40" s="1"/>
  <c r="N186" i="40"/>
  <c r="Q186" i="40" s="1"/>
  <c r="N185" i="40"/>
  <c r="N184" i="40"/>
  <c r="N183" i="40"/>
  <c r="Q183" i="40" s="1"/>
  <c r="N182" i="40"/>
  <c r="Q182" i="40" s="1"/>
  <c r="N179" i="40"/>
  <c r="N178" i="40"/>
  <c r="N177" i="40"/>
  <c r="N176" i="40"/>
  <c r="Q176" i="40" s="1"/>
  <c r="N173" i="40"/>
  <c r="N172" i="40"/>
  <c r="N171" i="40"/>
  <c r="Q171" i="40" s="1"/>
  <c r="N170" i="40"/>
  <c r="Q170" i="40" s="1"/>
  <c r="N169" i="40"/>
  <c r="N167" i="40"/>
  <c r="N166" i="40"/>
  <c r="Q166" i="40" s="1"/>
  <c r="N165" i="40"/>
  <c r="Q165" i="40" s="1"/>
  <c r="N164" i="40"/>
  <c r="N163" i="40"/>
  <c r="N162" i="40"/>
  <c r="Q162" i="40" s="1"/>
  <c r="N161" i="40"/>
  <c r="Q161" i="40" s="1"/>
  <c r="N160" i="40"/>
  <c r="N159" i="40"/>
  <c r="N113" i="40"/>
  <c r="N110" i="40"/>
  <c r="Q110" i="40" s="1"/>
  <c r="N73" i="40"/>
  <c r="N71" i="40"/>
  <c r="N70" i="40"/>
  <c r="N69" i="40"/>
  <c r="N68" i="40"/>
  <c r="N67" i="40"/>
  <c r="N64" i="40"/>
  <c r="N63" i="40"/>
  <c r="N62" i="40"/>
  <c r="N21" i="40"/>
  <c r="N20" i="40"/>
  <c r="Q20" i="40" s="1"/>
  <c r="N19" i="40"/>
  <c r="Q19" i="40" s="1"/>
  <c r="N15" i="40"/>
  <c r="N14" i="40"/>
  <c r="I592" i="40"/>
  <c r="Q592" i="40" s="1"/>
  <c r="I589" i="40"/>
  <c r="Q589" i="40" s="1"/>
  <c r="I570" i="40"/>
  <c r="I568" i="40"/>
  <c r="I566" i="40"/>
  <c r="Q566" i="40" s="1"/>
  <c r="I565" i="40"/>
  <c r="Q565" i="40" s="1"/>
  <c r="I562" i="40"/>
  <c r="I559" i="40"/>
  <c r="I558" i="40"/>
  <c r="Q558" i="40" s="1"/>
  <c r="I556" i="40"/>
  <c r="Q556" i="40" s="1"/>
  <c r="I553" i="40"/>
  <c r="I552" i="40"/>
  <c r="I551" i="40"/>
  <c r="Q551" i="40" s="1"/>
  <c r="I550" i="40"/>
  <c r="Q550" i="40" s="1"/>
  <c r="I547" i="40"/>
  <c r="I546" i="40"/>
  <c r="I545" i="40"/>
  <c r="Q545" i="40" s="1"/>
  <c r="I542" i="40"/>
  <c r="Q542" i="40" s="1"/>
  <c r="I541" i="40"/>
  <c r="I507" i="40"/>
  <c r="I506" i="40"/>
  <c r="I502" i="40"/>
  <c r="Q502" i="40" s="1"/>
  <c r="I500" i="40"/>
  <c r="I498" i="40"/>
  <c r="I497" i="40"/>
  <c r="I469" i="40"/>
  <c r="Q469" i="40" s="1"/>
  <c r="I468" i="40"/>
  <c r="I465" i="40"/>
  <c r="I464" i="40"/>
  <c r="I462" i="40"/>
  <c r="Q462" i="40" s="1"/>
  <c r="I459" i="40"/>
  <c r="I458" i="40"/>
  <c r="I457" i="40"/>
  <c r="I456" i="40"/>
  <c r="Q456" i="40" s="1"/>
  <c r="I453" i="40"/>
  <c r="I452" i="40"/>
  <c r="I451" i="40"/>
  <c r="I448" i="40"/>
  <c r="Q448" i="40" s="1"/>
  <c r="I447" i="40"/>
  <c r="I416" i="40"/>
  <c r="I414" i="40"/>
  <c r="I412" i="40"/>
  <c r="I410" i="40"/>
  <c r="I409" i="40"/>
  <c r="I408" i="40"/>
  <c r="I405" i="40"/>
  <c r="I404" i="40"/>
  <c r="I403" i="40"/>
  <c r="I402" i="40"/>
  <c r="Q402" i="40" s="1"/>
  <c r="I399" i="40"/>
  <c r="Q399" i="40" s="1"/>
  <c r="I398" i="40"/>
  <c r="I372" i="40"/>
  <c r="I371" i="40"/>
  <c r="Q371" i="40" s="1"/>
  <c r="I368" i="40"/>
  <c r="Q368" i="40" s="1"/>
  <c r="I366" i="40"/>
  <c r="I364" i="40"/>
  <c r="I362" i="40"/>
  <c r="Q362" i="40" s="1"/>
  <c r="I361" i="40"/>
  <c r="Q361" i="40" s="1"/>
  <c r="I360" i="40"/>
  <c r="I357" i="40"/>
  <c r="I356" i="40"/>
  <c r="Q356" i="40" s="1"/>
  <c r="I355" i="40"/>
  <c r="Q355" i="40" s="1"/>
  <c r="I354" i="40"/>
  <c r="I351" i="40"/>
  <c r="I350" i="40"/>
  <c r="Q350" i="40" s="1"/>
  <c r="I328" i="40"/>
  <c r="Q328" i="40" s="1"/>
  <c r="I327" i="40"/>
  <c r="I326" i="40"/>
  <c r="I325" i="40"/>
  <c r="I321" i="40"/>
  <c r="Q321" i="40" s="1"/>
  <c r="I319" i="40"/>
  <c r="I316" i="40"/>
  <c r="I313" i="40"/>
  <c r="I312" i="40"/>
  <c r="Q312" i="40" s="1"/>
  <c r="I311" i="40"/>
  <c r="I310" i="40"/>
  <c r="I308" i="40"/>
  <c r="Q308" i="40" s="1"/>
  <c r="I307" i="40"/>
  <c r="Q307" i="40" s="1"/>
  <c r="I306" i="40"/>
  <c r="I305" i="40"/>
  <c r="I278" i="40"/>
  <c r="Q278" i="40" s="1"/>
  <c r="I275" i="40"/>
  <c r="Q275" i="40" s="1"/>
  <c r="I274" i="40"/>
  <c r="I272" i="40"/>
  <c r="I270" i="40"/>
  <c r="Q270" i="40" s="1"/>
  <c r="I269" i="40"/>
  <c r="Q269" i="40" s="1"/>
  <c r="I268" i="40"/>
  <c r="I267" i="40"/>
  <c r="I264" i="40"/>
  <c r="Q264" i="40" s="1"/>
  <c r="I263" i="40"/>
  <c r="Q263" i="40" s="1"/>
  <c r="I262" i="40"/>
  <c r="I259" i="40"/>
  <c r="I258" i="40"/>
  <c r="Q258" i="40" s="1"/>
  <c r="I257" i="40"/>
  <c r="Q257" i="40" s="1"/>
  <c r="I256" i="40"/>
  <c r="I255" i="40"/>
  <c r="I254" i="40"/>
  <c r="Q254" i="40" s="1"/>
  <c r="I213" i="40"/>
  <c r="Q213" i="40" s="1"/>
  <c r="I212" i="40"/>
  <c r="I211" i="40"/>
  <c r="I210" i="40"/>
  <c r="I209" i="40"/>
  <c r="Q209" i="40" s="1"/>
  <c r="I208" i="40"/>
  <c r="I192" i="40"/>
  <c r="I191" i="40"/>
  <c r="I190" i="40"/>
  <c r="I187" i="40"/>
  <c r="I186" i="40"/>
  <c r="I185" i="40"/>
  <c r="I184" i="40"/>
  <c r="I183" i="40"/>
  <c r="I182" i="40"/>
  <c r="I179" i="40"/>
  <c r="I178" i="40"/>
  <c r="I177" i="40"/>
  <c r="I176" i="40"/>
  <c r="I173" i="40"/>
  <c r="I172" i="40"/>
  <c r="I171" i="40"/>
  <c r="I170" i="40"/>
  <c r="I169" i="40"/>
  <c r="I167" i="40"/>
  <c r="I166" i="40"/>
  <c r="I165" i="40"/>
  <c r="I164" i="40"/>
  <c r="I163" i="40"/>
  <c r="I162" i="40"/>
  <c r="I161" i="40"/>
  <c r="I160" i="40"/>
  <c r="I159" i="40"/>
  <c r="I113" i="40"/>
  <c r="I110" i="40"/>
  <c r="I73" i="40"/>
  <c r="Q73" i="40" s="1"/>
  <c r="I71" i="40"/>
  <c r="Q71" i="40" s="1"/>
  <c r="I70" i="40"/>
  <c r="I69" i="40"/>
  <c r="I68" i="40"/>
  <c r="Q68" i="40" s="1"/>
  <c r="I67" i="40"/>
  <c r="Q67" i="40" s="1"/>
  <c r="I64" i="40"/>
  <c r="I63" i="40"/>
  <c r="I62" i="40"/>
  <c r="Q62" i="40" s="1"/>
  <c r="I21" i="40"/>
  <c r="I20" i="40"/>
  <c r="I19" i="40"/>
  <c r="I15" i="40"/>
  <c r="I14" i="40"/>
  <c r="A623" i="40"/>
  <c r="T586" i="40"/>
  <c r="S586" i="40"/>
  <c r="R586" i="40"/>
  <c r="Q586" i="40"/>
  <c r="O586" i="40"/>
  <c r="N586" i="40"/>
  <c r="M586" i="40"/>
  <c r="L586" i="40"/>
  <c r="J586" i="40"/>
  <c r="I586" i="40"/>
  <c r="H586" i="40"/>
  <c r="F586" i="40"/>
  <c r="D586" i="40"/>
  <c r="C586" i="40"/>
  <c r="B586" i="40"/>
  <c r="A586" i="40"/>
  <c r="T585" i="40"/>
  <c r="S585" i="40"/>
  <c r="R585" i="40"/>
  <c r="Q585" i="40"/>
  <c r="O585" i="40"/>
  <c r="N585" i="40"/>
  <c r="M585" i="40"/>
  <c r="L585" i="40"/>
  <c r="J585" i="40"/>
  <c r="I585" i="40"/>
  <c r="H585" i="40"/>
  <c r="G585" i="40"/>
  <c r="F585" i="40"/>
  <c r="E585" i="40"/>
  <c r="D585" i="40"/>
  <c r="C585" i="40"/>
  <c r="B585" i="40"/>
  <c r="A585" i="40"/>
  <c r="T584" i="40"/>
  <c r="S584" i="40"/>
  <c r="R584" i="40"/>
  <c r="Q584" i="40"/>
  <c r="O584" i="40"/>
  <c r="N584" i="40"/>
  <c r="M584" i="40"/>
  <c r="L584" i="40"/>
  <c r="J584" i="40"/>
  <c r="I584" i="40"/>
  <c r="H584" i="40"/>
  <c r="G584" i="40"/>
  <c r="F584" i="40"/>
  <c r="E584" i="40"/>
  <c r="D584" i="40"/>
  <c r="C584" i="40"/>
  <c r="B584" i="40"/>
  <c r="A584" i="40"/>
  <c r="T583" i="40"/>
  <c r="S583" i="40"/>
  <c r="R583" i="40"/>
  <c r="Q583" i="40"/>
  <c r="O583" i="40"/>
  <c r="N583" i="40"/>
  <c r="M583" i="40"/>
  <c r="L583" i="40"/>
  <c r="J583" i="40"/>
  <c r="I583" i="40"/>
  <c r="H583" i="40"/>
  <c r="G583" i="40"/>
  <c r="F583" i="40"/>
  <c r="E583" i="40"/>
  <c r="D583" i="40"/>
  <c r="C583" i="40"/>
  <c r="B583" i="40"/>
  <c r="A583" i="40"/>
  <c r="T582" i="40"/>
  <c r="S582" i="40"/>
  <c r="R582" i="40"/>
  <c r="Q582" i="40"/>
  <c r="O582" i="40"/>
  <c r="N582" i="40"/>
  <c r="M582" i="40"/>
  <c r="L582" i="40"/>
  <c r="J582" i="40"/>
  <c r="I582" i="40"/>
  <c r="H582" i="40"/>
  <c r="G582" i="40"/>
  <c r="F582" i="40"/>
  <c r="E582" i="40"/>
  <c r="D582" i="40"/>
  <c r="C582" i="40"/>
  <c r="B582" i="40"/>
  <c r="A582" i="40"/>
  <c r="I576" i="40"/>
  <c r="A576" i="40"/>
  <c r="A575" i="40"/>
  <c r="Q570" i="40"/>
  <c r="Q568" i="40"/>
  <c r="Q562" i="40"/>
  <c r="Q559" i="40"/>
  <c r="Q553" i="40"/>
  <c r="Q552" i="40"/>
  <c r="Q547" i="40"/>
  <c r="Q546" i="40"/>
  <c r="Q541" i="40"/>
  <c r="T538" i="40"/>
  <c r="S538" i="40"/>
  <c r="R538" i="40"/>
  <c r="Q538" i="40"/>
  <c r="O538" i="40"/>
  <c r="N538" i="40"/>
  <c r="M538" i="40"/>
  <c r="L538" i="40"/>
  <c r="J538" i="40"/>
  <c r="I538" i="40"/>
  <c r="H538" i="40"/>
  <c r="F538" i="40"/>
  <c r="D538" i="40"/>
  <c r="C538" i="40"/>
  <c r="B538" i="40"/>
  <c r="A538" i="40"/>
  <c r="T537" i="40"/>
  <c r="S537" i="40"/>
  <c r="R537" i="40"/>
  <c r="Q537" i="40"/>
  <c r="O537" i="40"/>
  <c r="N537" i="40"/>
  <c r="M537" i="40"/>
  <c r="L537" i="40"/>
  <c r="J537" i="40"/>
  <c r="I537" i="40"/>
  <c r="H537" i="40"/>
  <c r="G537" i="40"/>
  <c r="F537" i="40"/>
  <c r="E537" i="40"/>
  <c r="D537" i="40"/>
  <c r="C537" i="40"/>
  <c r="B537" i="40"/>
  <c r="A537" i="40"/>
  <c r="T536" i="40"/>
  <c r="S536" i="40"/>
  <c r="R536" i="40"/>
  <c r="Q536" i="40"/>
  <c r="O536" i="40"/>
  <c r="N536" i="40"/>
  <c r="M536" i="40"/>
  <c r="L536" i="40"/>
  <c r="J536" i="40"/>
  <c r="I536" i="40"/>
  <c r="H536" i="40"/>
  <c r="G536" i="40"/>
  <c r="F536" i="40"/>
  <c r="E536" i="40"/>
  <c r="D536" i="40"/>
  <c r="C536" i="40"/>
  <c r="B536" i="40"/>
  <c r="A536" i="40"/>
  <c r="T535" i="40"/>
  <c r="S535" i="40"/>
  <c r="R535" i="40"/>
  <c r="Q535" i="40"/>
  <c r="O535" i="40"/>
  <c r="N535" i="40"/>
  <c r="M535" i="40"/>
  <c r="L535" i="40"/>
  <c r="J535" i="40"/>
  <c r="I535" i="40"/>
  <c r="H535" i="40"/>
  <c r="G535" i="40"/>
  <c r="F535" i="40"/>
  <c r="E535" i="40"/>
  <c r="D535" i="40"/>
  <c r="C535" i="40"/>
  <c r="B535" i="40"/>
  <c r="A535" i="40"/>
  <c r="T534" i="40"/>
  <c r="S534" i="40"/>
  <c r="R534" i="40"/>
  <c r="Q534" i="40"/>
  <c r="O534" i="40"/>
  <c r="N534" i="40"/>
  <c r="M534" i="40"/>
  <c r="L534" i="40"/>
  <c r="J534" i="40"/>
  <c r="I534" i="40"/>
  <c r="H534" i="40"/>
  <c r="G534" i="40"/>
  <c r="F534" i="40"/>
  <c r="E534" i="40"/>
  <c r="D534" i="40"/>
  <c r="C534" i="40"/>
  <c r="B534" i="40"/>
  <c r="A534" i="40"/>
  <c r="I528" i="40"/>
  <c r="A528" i="40"/>
  <c r="A527" i="40"/>
  <c r="Q506" i="40"/>
  <c r="Q497" i="40"/>
  <c r="C495" i="40"/>
  <c r="L495" i="40" s="1"/>
  <c r="T492" i="40"/>
  <c r="S492" i="40"/>
  <c r="R492" i="40"/>
  <c r="Q492" i="40"/>
  <c r="O492" i="40"/>
  <c r="N492" i="40"/>
  <c r="M492" i="40"/>
  <c r="L492" i="40"/>
  <c r="J492" i="40"/>
  <c r="I492" i="40"/>
  <c r="H492" i="40"/>
  <c r="F492" i="40"/>
  <c r="D492" i="40"/>
  <c r="C492" i="40"/>
  <c r="B492" i="40"/>
  <c r="A492" i="40"/>
  <c r="T491" i="40"/>
  <c r="S491" i="40"/>
  <c r="R491" i="40"/>
  <c r="Q491" i="40"/>
  <c r="O491" i="40"/>
  <c r="N491" i="40"/>
  <c r="M491" i="40"/>
  <c r="L491" i="40"/>
  <c r="J491" i="40"/>
  <c r="I491" i="40"/>
  <c r="H491" i="40"/>
  <c r="G491" i="40"/>
  <c r="F491" i="40"/>
  <c r="E491" i="40"/>
  <c r="D491" i="40"/>
  <c r="C491" i="40"/>
  <c r="B491" i="40"/>
  <c r="A491" i="40"/>
  <c r="T490" i="40"/>
  <c r="S490" i="40"/>
  <c r="R490" i="40"/>
  <c r="Q490" i="40"/>
  <c r="O490" i="40"/>
  <c r="N490" i="40"/>
  <c r="M490" i="40"/>
  <c r="L490" i="40"/>
  <c r="J490" i="40"/>
  <c r="I490" i="40"/>
  <c r="H490" i="40"/>
  <c r="G490" i="40"/>
  <c r="F490" i="40"/>
  <c r="E490" i="40"/>
  <c r="D490" i="40"/>
  <c r="C490" i="40"/>
  <c r="B490" i="40"/>
  <c r="A490" i="40"/>
  <c r="T489" i="40"/>
  <c r="S489" i="40"/>
  <c r="R489" i="40"/>
  <c r="Q489" i="40"/>
  <c r="O489" i="40"/>
  <c r="N489" i="40"/>
  <c r="M489" i="40"/>
  <c r="L489" i="40"/>
  <c r="J489" i="40"/>
  <c r="I489" i="40"/>
  <c r="H489" i="40"/>
  <c r="G489" i="40"/>
  <c r="F489" i="40"/>
  <c r="E489" i="40"/>
  <c r="D489" i="40"/>
  <c r="C489" i="40"/>
  <c r="B489" i="40"/>
  <c r="A489" i="40"/>
  <c r="T488" i="40"/>
  <c r="S488" i="40"/>
  <c r="R488" i="40"/>
  <c r="Q488" i="40"/>
  <c r="O488" i="40"/>
  <c r="N488" i="40"/>
  <c r="M488" i="40"/>
  <c r="L488" i="40"/>
  <c r="J488" i="40"/>
  <c r="I488" i="40"/>
  <c r="H488" i="40"/>
  <c r="G488" i="40"/>
  <c r="F488" i="40"/>
  <c r="E488" i="40"/>
  <c r="D488" i="40"/>
  <c r="C488" i="40"/>
  <c r="B488" i="40"/>
  <c r="A488" i="40"/>
  <c r="I482" i="40"/>
  <c r="A482" i="40"/>
  <c r="A481" i="40"/>
  <c r="Q464" i="40"/>
  <c r="Q457" i="40"/>
  <c r="Q451" i="40"/>
  <c r="T444" i="40"/>
  <c r="S444" i="40"/>
  <c r="R444" i="40"/>
  <c r="Q444" i="40"/>
  <c r="O444" i="40"/>
  <c r="N444" i="40"/>
  <c r="M444" i="40"/>
  <c r="L444" i="40"/>
  <c r="J444" i="40"/>
  <c r="I444" i="40"/>
  <c r="H444" i="40"/>
  <c r="F444" i="40"/>
  <c r="D444" i="40"/>
  <c r="C444" i="40"/>
  <c r="B444" i="40"/>
  <c r="A444" i="40"/>
  <c r="T443" i="40"/>
  <c r="S443" i="40"/>
  <c r="R443" i="40"/>
  <c r="Q443" i="40"/>
  <c r="O443" i="40"/>
  <c r="N443" i="40"/>
  <c r="M443" i="40"/>
  <c r="L443" i="40"/>
  <c r="J443" i="40"/>
  <c r="I443" i="40"/>
  <c r="H443" i="40"/>
  <c r="G443" i="40"/>
  <c r="F443" i="40"/>
  <c r="E443" i="40"/>
  <c r="D443" i="40"/>
  <c r="C443" i="40"/>
  <c r="B443" i="40"/>
  <c r="A443" i="40"/>
  <c r="T442" i="40"/>
  <c r="S442" i="40"/>
  <c r="R442" i="40"/>
  <c r="Q442" i="40"/>
  <c r="O442" i="40"/>
  <c r="N442" i="40"/>
  <c r="M442" i="40"/>
  <c r="L442" i="40"/>
  <c r="J442" i="40"/>
  <c r="I442" i="40"/>
  <c r="H442" i="40"/>
  <c r="G442" i="40"/>
  <c r="F442" i="40"/>
  <c r="E442" i="40"/>
  <c r="D442" i="40"/>
  <c r="C442" i="40"/>
  <c r="B442" i="40"/>
  <c r="A442" i="40"/>
  <c r="T441" i="40"/>
  <c r="S441" i="40"/>
  <c r="R441" i="40"/>
  <c r="Q441" i="40"/>
  <c r="O441" i="40"/>
  <c r="N441" i="40"/>
  <c r="M441" i="40"/>
  <c r="L441" i="40"/>
  <c r="J441" i="40"/>
  <c r="I441" i="40"/>
  <c r="H441" i="40"/>
  <c r="G441" i="40"/>
  <c r="F441" i="40"/>
  <c r="E441" i="40"/>
  <c r="D441" i="40"/>
  <c r="C441" i="40"/>
  <c r="B441" i="40"/>
  <c r="A441" i="40"/>
  <c r="T440" i="40"/>
  <c r="S440" i="40"/>
  <c r="R440" i="40"/>
  <c r="Q440" i="40"/>
  <c r="O440" i="40"/>
  <c r="N440" i="40"/>
  <c r="M440" i="40"/>
  <c r="L440" i="40"/>
  <c r="J440" i="40"/>
  <c r="I440" i="40"/>
  <c r="H440" i="40"/>
  <c r="G440" i="40"/>
  <c r="F440" i="40"/>
  <c r="E440" i="40"/>
  <c r="D440" i="40"/>
  <c r="C440" i="40"/>
  <c r="B440" i="40"/>
  <c r="A440" i="40"/>
  <c r="I434" i="40"/>
  <c r="A434" i="40"/>
  <c r="A433" i="40"/>
  <c r="Q414" i="40"/>
  <c r="Q412" i="40"/>
  <c r="Q408" i="40"/>
  <c r="Q404" i="40"/>
  <c r="Q398" i="40"/>
  <c r="T396" i="40"/>
  <c r="S396" i="40"/>
  <c r="R396" i="40"/>
  <c r="Q396" i="40"/>
  <c r="O396" i="40"/>
  <c r="N396" i="40"/>
  <c r="M396" i="40"/>
  <c r="L396" i="40"/>
  <c r="J396" i="40"/>
  <c r="I396" i="40"/>
  <c r="H396" i="40"/>
  <c r="F396" i="40"/>
  <c r="D396" i="40"/>
  <c r="C396" i="40"/>
  <c r="B396" i="40"/>
  <c r="A396" i="40"/>
  <c r="T395" i="40"/>
  <c r="S395" i="40"/>
  <c r="R395" i="40"/>
  <c r="Q395" i="40"/>
  <c r="O395" i="40"/>
  <c r="N395" i="40"/>
  <c r="M395" i="40"/>
  <c r="L395" i="40"/>
  <c r="J395" i="40"/>
  <c r="I395" i="40"/>
  <c r="H395" i="40"/>
  <c r="G395" i="40"/>
  <c r="F395" i="40"/>
  <c r="E395" i="40"/>
  <c r="D395" i="40"/>
  <c r="C395" i="40"/>
  <c r="B395" i="40"/>
  <c r="A395" i="40"/>
  <c r="T394" i="40"/>
  <c r="S394" i="40"/>
  <c r="R394" i="40"/>
  <c r="Q394" i="40"/>
  <c r="O394" i="40"/>
  <c r="N394" i="40"/>
  <c r="M394" i="40"/>
  <c r="L394" i="40"/>
  <c r="J394" i="40"/>
  <c r="I394" i="40"/>
  <c r="H394" i="40"/>
  <c r="G394" i="40"/>
  <c r="F394" i="40"/>
  <c r="E394" i="40"/>
  <c r="D394" i="40"/>
  <c r="C394" i="40"/>
  <c r="B394" i="40"/>
  <c r="A394" i="40"/>
  <c r="T393" i="40"/>
  <c r="S393" i="40"/>
  <c r="R393" i="40"/>
  <c r="Q393" i="40"/>
  <c r="O393" i="40"/>
  <c r="N393" i="40"/>
  <c r="M393" i="40"/>
  <c r="L393" i="40"/>
  <c r="J393" i="40"/>
  <c r="I393" i="40"/>
  <c r="H393" i="40"/>
  <c r="G393" i="40"/>
  <c r="F393" i="40"/>
  <c r="E393" i="40"/>
  <c r="D393" i="40"/>
  <c r="C393" i="40"/>
  <c r="B393" i="40"/>
  <c r="A393" i="40"/>
  <c r="T392" i="40"/>
  <c r="S392" i="40"/>
  <c r="R392" i="40"/>
  <c r="Q392" i="40"/>
  <c r="O392" i="40"/>
  <c r="N392" i="40"/>
  <c r="M392" i="40"/>
  <c r="L392" i="40"/>
  <c r="J392" i="40"/>
  <c r="I392" i="40"/>
  <c r="H392" i="40"/>
  <c r="G392" i="40"/>
  <c r="F392" i="40"/>
  <c r="E392" i="40"/>
  <c r="D392" i="40"/>
  <c r="C392" i="40"/>
  <c r="B392" i="40"/>
  <c r="A392" i="40"/>
  <c r="I386" i="40"/>
  <c r="A386" i="40"/>
  <c r="A385" i="40"/>
  <c r="Q372" i="40"/>
  <c r="Q366" i="40"/>
  <c r="Q364" i="40"/>
  <c r="Q360" i="40"/>
  <c r="Q357" i="40"/>
  <c r="Q354" i="40"/>
  <c r="Q351" i="40"/>
  <c r="T348" i="40"/>
  <c r="S348" i="40"/>
  <c r="R348" i="40"/>
  <c r="Q348" i="40"/>
  <c r="O348" i="40"/>
  <c r="N348" i="40"/>
  <c r="M348" i="40"/>
  <c r="L348" i="40"/>
  <c r="J348" i="40"/>
  <c r="I348" i="40"/>
  <c r="H348" i="40"/>
  <c r="F348" i="40"/>
  <c r="D348" i="40"/>
  <c r="C348" i="40"/>
  <c r="B348" i="40"/>
  <c r="A348" i="40"/>
  <c r="T347" i="40"/>
  <c r="S347" i="40"/>
  <c r="R347" i="40"/>
  <c r="Q347" i="40"/>
  <c r="O347" i="40"/>
  <c r="N347" i="40"/>
  <c r="M347" i="40"/>
  <c r="L347" i="40"/>
  <c r="J347" i="40"/>
  <c r="I347" i="40"/>
  <c r="H347" i="40"/>
  <c r="G347" i="40"/>
  <c r="F347" i="40"/>
  <c r="E347" i="40"/>
  <c r="D347" i="40"/>
  <c r="C347" i="40"/>
  <c r="B347" i="40"/>
  <c r="A347" i="40"/>
  <c r="T346" i="40"/>
  <c r="S346" i="40"/>
  <c r="R346" i="40"/>
  <c r="Q346" i="40"/>
  <c r="O346" i="40"/>
  <c r="N346" i="40"/>
  <c r="M346" i="40"/>
  <c r="L346" i="40"/>
  <c r="J346" i="40"/>
  <c r="I346" i="40"/>
  <c r="H346" i="40"/>
  <c r="G346" i="40"/>
  <c r="F346" i="40"/>
  <c r="E346" i="40"/>
  <c r="D346" i="40"/>
  <c r="C346" i="40"/>
  <c r="B346" i="40"/>
  <c r="A346" i="40"/>
  <c r="T345" i="40"/>
  <c r="S345" i="40"/>
  <c r="R345" i="40"/>
  <c r="Q345" i="40"/>
  <c r="O345" i="40"/>
  <c r="N345" i="40"/>
  <c r="M345" i="40"/>
  <c r="L345" i="40"/>
  <c r="J345" i="40"/>
  <c r="I345" i="40"/>
  <c r="H345" i="40"/>
  <c r="G345" i="40"/>
  <c r="F345" i="40"/>
  <c r="E345" i="40"/>
  <c r="D345" i="40"/>
  <c r="C345" i="40"/>
  <c r="B345" i="40"/>
  <c r="A345" i="40"/>
  <c r="T344" i="40"/>
  <c r="S344" i="40"/>
  <c r="R344" i="40"/>
  <c r="Q344" i="40"/>
  <c r="O344" i="40"/>
  <c r="N344" i="40"/>
  <c r="M344" i="40"/>
  <c r="L344" i="40"/>
  <c r="J344" i="40"/>
  <c r="I344" i="40"/>
  <c r="H344" i="40"/>
  <c r="G344" i="40"/>
  <c r="F344" i="40"/>
  <c r="E344" i="40"/>
  <c r="D344" i="40"/>
  <c r="C344" i="40"/>
  <c r="B344" i="40"/>
  <c r="A344" i="40"/>
  <c r="I338" i="40"/>
  <c r="A338" i="40"/>
  <c r="A337" i="40"/>
  <c r="Q325" i="40"/>
  <c r="Q313" i="40"/>
  <c r="Q306" i="40"/>
  <c r="T300" i="40"/>
  <c r="S300" i="40"/>
  <c r="R300" i="40"/>
  <c r="Q300" i="40"/>
  <c r="O300" i="40"/>
  <c r="N300" i="40"/>
  <c r="M300" i="40"/>
  <c r="L300" i="40"/>
  <c r="J300" i="40"/>
  <c r="I300" i="40"/>
  <c r="H300" i="40"/>
  <c r="F300" i="40"/>
  <c r="D300" i="40"/>
  <c r="C300" i="40"/>
  <c r="B300" i="40"/>
  <c r="A300" i="40"/>
  <c r="T299" i="40"/>
  <c r="S299" i="40"/>
  <c r="R299" i="40"/>
  <c r="Q299" i="40"/>
  <c r="O299" i="40"/>
  <c r="N299" i="40"/>
  <c r="M299" i="40"/>
  <c r="L299" i="40"/>
  <c r="J299" i="40"/>
  <c r="I299" i="40"/>
  <c r="H299" i="40"/>
  <c r="G299" i="40"/>
  <c r="F299" i="40"/>
  <c r="E299" i="40"/>
  <c r="D299" i="40"/>
  <c r="C299" i="40"/>
  <c r="B299" i="40"/>
  <c r="A299" i="40"/>
  <c r="T298" i="40"/>
  <c r="S298" i="40"/>
  <c r="R298" i="40"/>
  <c r="Q298" i="40"/>
  <c r="O298" i="40"/>
  <c r="N298" i="40"/>
  <c r="M298" i="40"/>
  <c r="L298" i="40"/>
  <c r="J298" i="40"/>
  <c r="I298" i="40"/>
  <c r="H298" i="40"/>
  <c r="G298" i="40"/>
  <c r="F298" i="40"/>
  <c r="E298" i="40"/>
  <c r="D298" i="40"/>
  <c r="C298" i="40"/>
  <c r="B298" i="40"/>
  <c r="A298" i="40"/>
  <c r="T297" i="40"/>
  <c r="S297" i="40"/>
  <c r="R297" i="40"/>
  <c r="Q297" i="40"/>
  <c r="O297" i="40"/>
  <c r="N297" i="40"/>
  <c r="M297" i="40"/>
  <c r="L297" i="40"/>
  <c r="J297" i="40"/>
  <c r="I297" i="40"/>
  <c r="H297" i="40"/>
  <c r="G297" i="40"/>
  <c r="F297" i="40"/>
  <c r="E297" i="40"/>
  <c r="D297" i="40"/>
  <c r="C297" i="40"/>
  <c r="B297" i="40"/>
  <c r="A297" i="40"/>
  <c r="T296" i="40"/>
  <c r="S296" i="40"/>
  <c r="R296" i="40"/>
  <c r="Q296" i="40"/>
  <c r="O296" i="40"/>
  <c r="N296" i="40"/>
  <c r="M296" i="40"/>
  <c r="L296" i="40"/>
  <c r="J296" i="40"/>
  <c r="I296" i="40"/>
  <c r="H296" i="40"/>
  <c r="G296" i="40"/>
  <c r="F296" i="40"/>
  <c r="E296" i="40"/>
  <c r="D296" i="40"/>
  <c r="C296" i="40"/>
  <c r="B296" i="40"/>
  <c r="A296" i="40"/>
  <c r="I290" i="40"/>
  <c r="A290" i="40"/>
  <c r="A289" i="40"/>
  <c r="Q274" i="40"/>
  <c r="Q272" i="40"/>
  <c r="Q268" i="40"/>
  <c r="Q267" i="40"/>
  <c r="Q262" i="40"/>
  <c r="Q259" i="40"/>
  <c r="Q256" i="40"/>
  <c r="Q255" i="40"/>
  <c r="T252" i="40"/>
  <c r="S252" i="40"/>
  <c r="R252" i="40"/>
  <c r="Q252" i="40"/>
  <c r="O252" i="40"/>
  <c r="N252" i="40"/>
  <c r="M252" i="40"/>
  <c r="L252" i="40"/>
  <c r="J252" i="40"/>
  <c r="I252" i="40"/>
  <c r="H252" i="40"/>
  <c r="F252" i="40"/>
  <c r="D252" i="40"/>
  <c r="C252" i="40"/>
  <c r="B252" i="40"/>
  <c r="A252" i="40"/>
  <c r="T251" i="40"/>
  <c r="S251" i="40"/>
  <c r="R251" i="40"/>
  <c r="Q251" i="40"/>
  <c r="O251" i="40"/>
  <c r="N251" i="40"/>
  <c r="M251" i="40"/>
  <c r="L251" i="40"/>
  <c r="J251" i="40"/>
  <c r="I251" i="40"/>
  <c r="H251" i="40"/>
  <c r="G251" i="40"/>
  <c r="F251" i="40"/>
  <c r="E251" i="40"/>
  <c r="D251" i="40"/>
  <c r="C251" i="40"/>
  <c r="B251" i="40"/>
  <c r="A251" i="40"/>
  <c r="T250" i="40"/>
  <c r="S250" i="40"/>
  <c r="R250" i="40"/>
  <c r="Q250" i="40"/>
  <c r="O250" i="40"/>
  <c r="N250" i="40"/>
  <c r="M250" i="40"/>
  <c r="L250" i="40"/>
  <c r="J250" i="40"/>
  <c r="I250" i="40"/>
  <c r="H250" i="40"/>
  <c r="G250" i="40"/>
  <c r="F250" i="40"/>
  <c r="E250" i="40"/>
  <c r="D250" i="40"/>
  <c r="C250" i="40"/>
  <c r="B250" i="40"/>
  <c r="A250" i="40"/>
  <c r="T249" i="40"/>
  <c r="S249" i="40"/>
  <c r="R249" i="40"/>
  <c r="Q249" i="40"/>
  <c r="O249" i="40"/>
  <c r="N249" i="40"/>
  <c r="M249" i="40"/>
  <c r="L249" i="40"/>
  <c r="J249" i="40"/>
  <c r="I249" i="40"/>
  <c r="H249" i="40"/>
  <c r="G249" i="40"/>
  <c r="F249" i="40"/>
  <c r="E249" i="40"/>
  <c r="D249" i="40"/>
  <c r="C249" i="40"/>
  <c r="B249" i="40"/>
  <c r="A249" i="40"/>
  <c r="T248" i="40"/>
  <c r="S248" i="40"/>
  <c r="R248" i="40"/>
  <c r="Q248" i="40"/>
  <c r="O248" i="40"/>
  <c r="N248" i="40"/>
  <c r="M248" i="40"/>
  <c r="L248" i="40"/>
  <c r="J248" i="40"/>
  <c r="I248" i="40"/>
  <c r="H248" i="40"/>
  <c r="G248" i="40"/>
  <c r="F248" i="40"/>
  <c r="E248" i="40"/>
  <c r="D248" i="40"/>
  <c r="C248" i="40"/>
  <c r="B248" i="40"/>
  <c r="A248" i="40"/>
  <c r="I242" i="40"/>
  <c r="A242" i="40"/>
  <c r="A241" i="40"/>
  <c r="Q210" i="40"/>
  <c r="T204" i="40"/>
  <c r="S204" i="40"/>
  <c r="R204" i="40"/>
  <c r="Q204" i="40"/>
  <c r="O204" i="40"/>
  <c r="N204" i="40"/>
  <c r="M204" i="40"/>
  <c r="L204" i="40"/>
  <c r="J204" i="40"/>
  <c r="I204" i="40"/>
  <c r="H204" i="40"/>
  <c r="F204" i="40"/>
  <c r="D204" i="40"/>
  <c r="C204" i="40"/>
  <c r="B204" i="40"/>
  <c r="A204" i="40"/>
  <c r="T203" i="40"/>
  <c r="S203" i="40"/>
  <c r="R203" i="40"/>
  <c r="Q203" i="40"/>
  <c r="O203" i="40"/>
  <c r="N203" i="40"/>
  <c r="M203" i="40"/>
  <c r="L203" i="40"/>
  <c r="J203" i="40"/>
  <c r="I203" i="40"/>
  <c r="H203" i="40"/>
  <c r="G203" i="40"/>
  <c r="F203" i="40"/>
  <c r="E203" i="40"/>
  <c r="D203" i="40"/>
  <c r="C203" i="40"/>
  <c r="B203" i="40"/>
  <c r="A203" i="40"/>
  <c r="T202" i="40"/>
  <c r="S202" i="40"/>
  <c r="R202" i="40"/>
  <c r="Q202" i="40"/>
  <c r="O202" i="40"/>
  <c r="N202" i="40"/>
  <c r="M202" i="40"/>
  <c r="L202" i="40"/>
  <c r="J202" i="40"/>
  <c r="I202" i="40"/>
  <c r="H202" i="40"/>
  <c r="G202" i="40"/>
  <c r="F202" i="40"/>
  <c r="E202" i="40"/>
  <c r="D202" i="40"/>
  <c r="C202" i="40"/>
  <c r="B202" i="40"/>
  <c r="A202" i="40"/>
  <c r="T201" i="40"/>
  <c r="S201" i="40"/>
  <c r="R201" i="40"/>
  <c r="Q201" i="40"/>
  <c r="O201" i="40"/>
  <c r="N201" i="40"/>
  <c r="M201" i="40"/>
  <c r="L201" i="40"/>
  <c r="J201" i="40"/>
  <c r="I201" i="40"/>
  <c r="H201" i="40"/>
  <c r="G201" i="40"/>
  <c r="F201" i="40"/>
  <c r="E201" i="40"/>
  <c r="D201" i="40"/>
  <c r="C201" i="40"/>
  <c r="B201" i="40"/>
  <c r="A201" i="40"/>
  <c r="T200" i="40"/>
  <c r="S200" i="40"/>
  <c r="R200" i="40"/>
  <c r="Q200" i="40"/>
  <c r="O200" i="40"/>
  <c r="N200" i="40"/>
  <c r="M200" i="40"/>
  <c r="L200" i="40"/>
  <c r="J200" i="40"/>
  <c r="I200" i="40"/>
  <c r="H200" i="40"/>
  <c r="G200" i="40"/>
  <c r="F200" i="40"/>
  <c r="E200" i="40"/>
  <c r="D200" i="40"/>
  <c r="C200" i="40"/>
  <c r="B200" i="40"/>
  <c r="A200" i="40"/>
  <c r="I194" i="40"/>
  <c r="A194" i="40"/>
  <c r="A193" i="40"/>
  <c r="Q191" i="40"/>
  <c r="Q190" i="40"/>
  <c r="Q185" i="40"/>
  <c r="Q184" i="40"/>
  <c r="Q179" i="40"/>
  <c r="Q178" i="40"/>
  <c r="Q177" i="40"/>
  <c r="Q173" i="40"/>
  <c r="Q172" i="40"/>
  <c r="Q169" i="40"/>
  <c r="Q167" i="40"/>
  <c r="Q164" i="40"/>
  <c r="Q163" i="40"/>
  <c r="Q160" i="40"/>
  <c r="Q159" i="40"/>
  <c r="T156" i="40"/>
  <c r="S156" i="40"/>
  <c r="R156" i="40"/>
  <c r="Q156" i="40"/>
  <c r="O156" i="40"/>
  <c r="N156" i="40"/>
  <c r="M156" i="40"/>
  <c r="L156" i="40"/>
  <c r="J156" i="40"/>
  <c r="I156" i="40"/>
  <c r="H156" i="40"/>
  <c r="F156" i="40"/>
  <c r="D156" i="40"/>
  <c r="C156" i="40"/>
  <c r="B156" i="40"/>
  <c r="A156" i="40"/>
  <c r="T155" i="40"/>
  <c r="S155" i="40"/>
  <c r="R155" i="40"/>
  <c r="Q155" i="40"/>
  <c r="O155" i="40"/>
  <c r="N155" i="40"/>
  <c r="M155" i="40"/>
  <c r="L155" i="40"/>
  <c r="J155" i="40"/>
  <c r="I155" i="40"/>
  <c r="H155" i="40"/>
  <c r="G155" i="40"/>
  <c r="F155" i="40"/>
  <c r="E155" i="40"/>
  <c r="D155" i="40"/>
  <c r="C155" i="40"/>
  <c r="B155" i="40"/>
  <c r="A155" i="40"/>
  <c r="T154" i="40"/>
  <c r="S154" i="40"/>
  <c r="R154" i="40"/>
  <c r="Q154" i="40"/>
  <c r="O154" i="40"/>
  <c r="N154" i="40"/>
  <c r="M154" i="40"/>
  <c r="L154" i="40"/>
  <c r="J154" i="40"/>
  <c r="I154" i="40"/>
  <c r="H154" i="40"/>
  <c r="G154" i="40"/>
  <c r="F154" i="40"/>
  <c r="E154" i="40"/>
  <c r="D154" i="40"/>
  <c r="C154" i="40"/>
  <c r="B154" i="40"/>
  <c r="A154" i="40"/>
  <c r="T153" i="40"/>
  <c r="S153" i="40"/>
  <c r="R153" i="40"/>
  <c r="Q153" i="40"/>
  <c r="O153" i="40"/>
  <c r="N153" i="40"/>
  <c r="M153" i="40"/>
  <c r="L153" i="40"/>
  <c r="J153" i="40"/>
  <c r="I153" i="40"/>
  <c r="H153" i="40"/>
  <c r="G153" i="40"/>
  <c r="F153" i="40"/>
  <c r="E153" i="40"/>
  <c r="D153" i="40"/>
  <c r="C153" i="40"/>
  <c r="B153" i="40"/>
  <c r="A153" i="40"/>
  <c r="T152" i="40"/>
  <c r="S152" i="40"/>
  <c r="R152" i="40"/>
  <c r="Q152" i="40"/>
  <c r="O152" i="40"/>
  <c r="N152" i="40"/>
  <c r="M152" i="40"/>
  <c r="L152" i="40"/>
  <c r="J152" i="40"/>
  <c r="I152" i="40"/>
  <c r="H152" i="40"/>
  <c r="G152" i="40"/>
  <c r="F152" i="40"/>
  <c r="E152" i="40"/>
  <c r="D152" i="40"/>
  <c r="C152" i="40"/>
  <c r="B152" i="40"/>
  <c r="A152" i="40"/>
  <c r="I146" i="40"/>
  <c r="A146" i="40"/>
  <c r="A145" i="40"/>
  <c r="Q113" i="40"/>
  <c r="T108" i="40"/>
  <c r="S108" i="40"/>
  <c r="R108" i="40"/>
  <c r="Q108" i="40"/>
  <c r="O108" i="40"/>
  <c r="N108" i="40"/>
  <c r="M108" i="40"/>
  <c r="L108" i="40"/>
  <c r="J108" i="40"/>
  <c r="I108" i="40"/>
  <c r="H108" i="40"/>
  <c r="F108" i="40"/>
  <c r="D108" i="40"/>
  <c r="C108" i="40"/>
  <c r="B108" i="40"/>
  <c r="A108" i="40"/>
  <c r="T107" i="40"/>
  <c r="S107" i="40"/>
  <c r="R107" i="40"/>
  <c r="Q107" i="40"/>
  <c r="O107" i="40"/>
  <c r="N107" i="40"/>
  <c r="M107" i="40"/>
  <c r="L107" i="40"/>
  <c r="J107" i="40"/>
  <c r="I107" i="40"/>
  <c r="H107" i="40"/>
  <c r="G107" i="40"/>
  <c r="F107" i="40"/>
  <c r="E107" i="40"/>
  <c r="D107" i="40"/>
  <c r="C107" i="40"/>
  <c r="B107" i="40"/>
  <c r="A107" i="40"/>
  <c r="T106" i="40"/>
  <c r="S106" i="40"/>
  <c r="R106" i="40"/>
  <c r="Q106" i="40"/>
  <c r="O106" i="40"/>
  <c r="N106" i="40"/>
  <c r="M106" i="40"/>
  <c r="L106" i="40"/>
  <c r="J106" i="40"/>
  <c r="I106" i="40"/>
  <c r="H106" i="40"/>
  <c r="G106" i="40"/>
  <c r="F106" i="40"/>
  <c r="E106" i="40"/>
  <c r="D106" i="40"/>
  <c r="C106" i="40"/>
  <c r="B106" i="40"/>
  <c r="A106" i="40"/>
  <c r="T105" i="40"/>
  <c r="S105" i="40"/>
  <c r="R105" i="40"/>
  <c r="Q105" i="40"/>
  <c r="O105" i="40"/>
  <c r="N105" i="40"/>
  <c r="M105" i="40"/>
  <c r="L105" i="40"/>
  <c r="J105" i="40"/>
  <c r="I105" i="40"/>
  <c r="H105" i="40"/>
  <c r="G105" i="40"/>
  <c r="F105" i="40"/>
  <c r="E105" i="40"/>
  <c r="D105" i="40"/>
  <c r="C105" i="40"/>
  <c r="B105" i="40"/>
  <c r="A105" i="40"/>
  <c r="T104" i="40"/>
  <c r="S104" i="40"/>
  <c r="R104" i="40"/>
  <c r="Q104" i="40"/>
  <c r="O104" i="40"/>
  <c r="N104" i="40"/>
  <c r="M104" i="40"/>
  <c r="L104" i="40"/>
  <c r="J104" i="40"/>
  <c r="I104" i="40"/>
  <c r="H104" i="40"/>
  <c r="G104" i="40"/>
  <c r="F104" i="40"/>
  <c r="E104" i="40"/>
  <c r="D104" i="40"/>
  <c r="C104" i="40"/>
  <c r="B104" i="40"/>
  <c r="A104" i="40"/>
  <c r="I98" i="40"/>
  <c r="A98" i="40"/>
  <c r="A97" i="40"/>
  <c r="Q70" i="40"/>
  <c r="Q69" i="40"/>
  <c r="Q64" i="40"/>
  <c r="Q63" i="40"/>
  <c r="T60" i="40"/>
  <c r="S60" i="40"/>
  <c r="R60" i="40"/>
  <c r="Q60" i="40"/>
  <c r="O60" i="40"/>
  <c r="N60" i="40"/>
  <c r="M60" i="40"/>
  <c r="L60" i="40"/>
  <c r="J60" i="40"/>
  <c r="I60" i="40"/>
  <c r="H60" i="40"/>
  <c r="F60" i="40"/>
  <c r="D60" i="40"/>
  <c r="C60" i="40"/>
  <c r="B60" i="40"/>
  <c r="A60" i="40"/>
  <c r="T59" i="40"/>
  <c r="S59" i="40"/>
  <c r="R59" i="40"/>
  <c r="Q59" i="40"/>
  <c r="O59" i="40"/>
  <c r="N59" i="40"/>
  <c r="M59" i="40"/>
  <c r="L59" i="40"/>
  <c r="J59" i="40"/>
  <c r="I59" i="40"/>
  <c r="H59" i="40"/>
  <c r="G59" i="40"/>
  <c r="F59" i="40"/>
  <c r="E59" i="40"/>
  <c r="D59" i="40"/>
  <c r="C59" i="40"/>
  <c r="B59" i="40"/>
  <c r="A59" i="40"/>
  <c r="T58" i="40"/>
  <c r="S58" i="40"/>
  <c r="R58" i="40"/>
  <c r="Q58" i="40"/>
  <c r="O58" i="40"/>
  <c r="N58" i="40"/>
  <c r="M58" i="40"/>
  <c r="L58" i="40"/>
  <c r="J58" i="40"/>
  <c r="I58" i="40"/>
  <c r="H58" i="40"/>
  <c r="G58" i="40"/>
  <c r="F58" i="40"/>
  <c r="E58" i="40"/>
  <c r="D58" i="40"/>
  <c r="C58" i="40"/>
  <c r="B58" i="40"/>
  <c r="A58" i="40"/>
  <c r="T57" i="40"/>
  <c r="S57" i="40"/>
  <c r="R57" i="40"/>
  <c r="Q57" i="40"/>
  <c r="O57" i="40"/>
  <c r="N57" i="40"/>
  <c r="M57" i="40"/>
  <c r="L57" i="40"/>
  <c r="J57" i="40"/>
  <c r="I57" i="40"/>
  <c r="H57" i="40"/>
  <c r="G57" i="40"/>
  <c r="F57" i="40"/>
  <c r="E57" i="40"/>
  <c r="D57" i="40"/>
  <c r="C57" i="40"/>
  <c r="B57" i="40"/>
  <c r="A57" i="40"/>
  <c r="T56" i="40"/>
  <c r="S56" i="40"/>
  <c r="R56" i="40"/>
  <c r="Q56" i="40"/>
  <c r="O56" i="40"/>
  <c r="N56" i="40"/>
  <c r="M56" i="40"/>
  <c r="L56" i="40"/>
  <c r="J56" i="40"/>
  <c r="I56" i="40"/>
  <c r="H56" i="40"/>
  <c r="G56" i="40"/>
  <c r="F56" i="40"/>
  <c r="E56" i="40"/>
  <c r="D56" i="40"/>
  <c r="C56" i="40"/>
  <c r="B56" i="40"/>
  <c r="A56" i="40"/>
  <c r="I50" i="40"/>
  <c r="A50" i="40"/>
  <c r="Q21" i="40"/>
  <c r="Q15" i="40"/>
  <c r="Q14" i="40"/>
  <c r="R39" i="5"/>
  <c r="Q30" i="4"/>
  <c r="Q30" i="3"/>
  <c r="A104" i="38"/>
  <c r="A158" i="38" s="1"/>
  <c r="M95" i="39" l="1"/>
  <c r="L95" i="39"/>
  <c r="M94" i="39"/>
  <c r="L94" i="39"/>
  <c r="G94" i="39"/>
  <c r="M93" i="39"/>
  <c r="L93" i="39"/>
  <c r="S75" i="39" s="1"/>
  <c r="M92" i="39"/>
  <c r="Q76" i="39" s="1"/>
  <c r="L92" i="39"/>
  <c r="M91" i="39"/>
  <c r="L91" i="39"/>
  <c r="M90" i="39"/>
  <c r="L90" i="39"/>
  <c r="H90" i="39"/>
  <c r="M89" i="39"/>
  <c r="L89" i="39"/>
  <c r="H89" i="39"/>
  <c r="M88" i="39"/>
  <c r="G88" i="39"/>
  <c r="T76" i="39"/>
  <c r="S76" i="39"/>
  <c r="P76" i="39"/>
  <c r="J76" i="39"/>
  <c r="I76" i="39"/>
  <c r="H76" i="39"/>
  <c r="G76" i="39"/>
  <c r="F76" i="39"/>
  <c r="E76" i="39"/>
  <c r="C76" i="39"/>
  <c r="T75" i="39"/>
  <c r="Q75" i="39"/>
  <c r="P75" i="39"/>
  <c r="J75" i="39"/>
  <c r="I75" i="39"/>
  <c r="H75" i="39"/>
  <c r="G75" i="39"/>
  <c r="F75" i="39"/>
  <c r="C75" i="39"/>
  <c r="T74" i="39"/>
  <c r="Q74" i="39"/>
  <c r="P74" i="39"/>
  <c r="J74" i="39"/>
  <c r="I74" i="39"/>
  <c r="H74" i="39"/>
  <c r="G74" i="39"/>
  <c r="F74" i="39"/>
  <c r="C74" i="39"/>
  <c r="T72" i="39"/>
  <c r="S72" i="39"/>
  <c r="P72" i="39"/>
  <c r="J72" i="39"/>
  <c r="I72" i="39"/>
  <c r="H72" i="39"/>
  <c r="G72" i="39"/>
  <c r="F72" i="39"/>
  <c r="E72" i="39"/>
  <c r="C72" i="39"/>
  <c r="O72" i="39" s="1"/>
  <c r="T71" i="39"/>
  <c r="Q71" i="39"/>
  <c r="P71" i="39"/>
  <c r="J71" i="39"/>
  <c r="I71" i="39"/>
  <c r="H71" i="39"/>
  <c r="G71" i="39"/>
  <c r="F71" i="39"/>
  <c r="C71" i="39"/>
  <c r="T70" i="39"/>
  <c r="Q70" i="39"/>
  <c r="P70" i="39"/>
  <c r="J70" i="39"/>
  <c r="I70" i="39"/>
  <c r="H70" i="39"/>
  <c r="G70" i="39"/>
  <c r="F70" i="39"/>
  <c r="C70" i="39"/>
  <c r="T68" i="39"/>
  <c r="S68" i="39"/>
  <c r="P68" i="39"/>
  <c r="J68" i="39"/>
  <c r="I68" i="39"/>
  <c r="H68" i="39"/>
  <c r="G68" i="39"/>
  <c r="F68" i="39"/>
  <c r="E68" i="39"/>
  <c r="C68" i="39"/>
  <c r="T67" i="39"/>
  <c r="Q67" i="39"/>
  <c r="P67" i="39"/>
  <c r="J67" i="39"/>
  <c r="I67" i="39"/>
  <c r="H67" i="39"/>
  <c r="G67" i="39"/>
  <c r="F67" i="39"/>
  <c r="E67" i="39"/>
  <c r="C67" i="39"/>
  <c r="T66" i="39"/>
  <c r="Q66" i="39"/>
  <c r="P66" i="39"/>
  <c r="J66" i="39"/>
  <c r="I66" i="39"/>
  <c r="H66" i="39"/>
  <c r="G66" i="39"/>
  <c r="F66" i="39"/>
  <c r="E66" i="39"/>
  <c r="C66" i="39"/>
  <c r="M41" i="39"/>
  <c r="L41" i="39"/>
  <c r="M40" i="39"/>
  <c r="H40" i="39"/>
  <c r="G40" i="39"/>
  <c r="L40" i="39" s="1"/>
  <c r="M39" i="39"/>
  <c r="S22" i="39" s="1"/>
  <c r="L39" i="39"/>
  <c r="M38" i="39"/>
  <c r="L38" i="39"/>
  <c r="M37" i="39"/>
  <c r="L37" i="39"/>
  <c r="P22" i="39" s="1"/>
  <c r="L36" i="39"/>
  <c r="H36" i="39"/>
  <c r="M36" i="39" s="1"/>
  <c r="L35" i="39"/>
  <c r="H35" i="39"/>
  <c r="M35" i="39" s="1"/>
  <c r="O14" i="39" s="1"/>
  <c r="M34" i="39"/>
  <c r="L34" i="39"/>
  <c r="G34" i="39"/>
  <c r="T22" i="39"/>
  <c r="Q22" i="39"/>
  <c r="O22" i="39"/>
  <c r="J22" i="39"/>
  <c r="I22" i="39"/>
  <c r="G22" i="39"/>
  <c r="F22" i="39"/>
  <c r="C22" i="39"/>
  <c r="R22" i="39" s="1"/>
  <c r="S21" i="39"/>
  <c r="J21" i="39"/>
  <c r="I21" i="39"/>
  <c r="G21" i="39"/>
  <c r="F21" i="39"/>
  <c r="C21" i="39"/>
  <c r="S20" i="39"/>
  <c r="R20" i="39"/>
  <c r="P20" i="39"/>
  <c r="O20" i="39"/>
  <c r="K20" i="39"/>
  <c r="J20" i="39"/>
  <c r="I20" i="39"/>
  <c r="G20" i="39"/>
  <c r="F20" i="39"/>
  <c r="C20" i="39"/>
  <c r="T18" i="39"/>
  <c r="S18" i="39"/>
  <c r="R18" i="39"/>
  <c r="Q18" i="39"/>
  <c r="P18" i="39"/>
  <c r="K18" i="39"/>
  <c r="J18" i="39"/>
  <c r="I18" i="39"/>
  <c r="G18" i="39"/>
  <c r="F18" i="39"/>
  <c r="C18" i="39"/>
  <c r="S17" i="39"/>
  <c r="P17" i="39"/>
  <c r="J17" i="39"/>
  <c r="I17" i="39"/>
  <c r="G17" i="39"/>
  <c r="F17" i="39"/>
  <c r="C17" i="39"/>
  <c r="S16" i="39"/>
  <c r="R16" i="39"/>
  <c r="P16" i="39"/>
  <c r="O16" i="39"/>
  <c r="K16" i="39"/>
  <c r="J16" i="39"/>
  <c r="I16" i="39"/>
  <c r="G16" i="39"/>
  <c r="F16" i="39"/>
  <c r="C16" i="39"/>
  <c r="T14" i="39"/>
  <c r="S14" i="39"/>
  <c r="R14" i="39"/>
  <c r="Q14" i="39"/>
  <c r="P14" i="39"/>
  <c r="K14" i="39"/>
  <c r="J14" i="39"/>
  <c r="I14" i="39"/>
  <c r="G14" i="39"/>
  <c r="F14" i="39"/>
  <c r="C14" i="39"/>
  <c r="S13" i="39"/>
  <c r="P13" i="39"/>
  <c r="J13" i="39"/>
  <c r="I13" i="39"/>
  <c r="G13" i="39"/>
  <c r="F13" i="39"/>
  <c r="C13" i="39"/>
  <c r="S12" i="39"/>
  <c r="R12" i="39"/>
  <c r="P12" i="39"/>
  <c r="O12" i="39"/>
  <c r="K12" i="39"/>
  <c r="J12" i="39"/>
  <c r="I12" i="39"/>
  <c r="G12" i="39"/>
  <c r="F12" i="39"/>
  <c r="C12" i="39"/>
  <c r="N149" i="38"/>
  <c r="T119" i="38" s="1"/>
  <c r="M149" i="38"/>
  <c r="T122" i="38" s="1"/>
  <c r="I149" i="38"/>
  <c r="P149" i="38" s="1"/>
  <c r="T116" i="38" s="1"/>
  <c r="N148" i="38"/>
  <c r="M148" i="38"/>
  <c r="I148" i="38"/>
  <c r="P148" i="38" s="1"/>
  <c r="G148" i="38"/>
  <c r="F148" i="38"/>
  <c r="P147" i="38"/>
  <c r="N147" i="38"/>
  <c r="M147" i="38"/>
  <c r="I147" i="38"/>
  <c r="P146" i="38"/>
  <c r="N146" i="38"/>
  <c r="M146" i="38"/>
  <c r="I146" i="38"/>
  <c r="P145" i="38"/>
  <c r="N145" i="38"/>
  <c r="M145" i="38"/>
  <c r="I145" i="38"/>
  <c r="F126" i="38" s="1"/>
  <c r="P144" i="38"/>
  <c r="M144" i="38"/>
  <c r="G144" i="38"/>
  <c r="N144" i="38" s="1"/>
  <c r="P143" i="38"/>
  <c r="M143" i="38"/>
  <c r="G143" i="38"/>
  <c r="N143" i="38" s="1"/>
  <c r="P142" i="38"/>
  <c r="N142" i="38"/>
  <c r="I142" i="38"/>
  <c r="E126" i="38" s="1"/>
  <c r="F142" i="38"/>
  <c r="T129" i="38"/>
  <c r="S129" i="38"/>
  <c r="Q129" i="38"/>
  <c r="P129" i="38"/>
  <c r="J129" i="38"/>
  <c r="I129" i="38"/>
  <c r="H129" i="38"/>
  <c r="G129" i="38"/>
  <c r="F129" i="38"/>
  <c r="C129" i="38"/>
  <c r="S128" i="38"/>
  <c r="Q128" i="38"/>
  <c r="P128" i="38"/>
  <c r="J128" i="38"/>
  <c r="I128" i="38"/>
  <c r="H128" i="38"/>
  <c r="G128" i="38"/>
  <c r="F128" i="38"/>
  <c r="E128" i="38"/>
  <c r="C128" i="38"/>
  <c r="S127" i="38"/>
  <c r="Q127" i="38"/>
  <c r="P127" i="38"/>
  <c r="J127" i="38"/>
  <c r="I127" i="38"/>
  <c r="H127" i="38"/>
  <c r="G127" i="38"/>
  <c r="F127" i="38"/>
  <c r="C127" i="38"/>
  <c r="Q126" i="38"/>
  <c r="I126" i="38"/>
  <c r="H126" i="38"/>
  <c r="C126" i="38"/>
  <c r="T124" i="38"/>
  <c r="S124" i="38"/>
  <c r="Q124" i="38"/>
  <c r="P124" i="38"/>
  <c r="J124" i="38"/>
  <c r="I124" i="38"/>
  <c r="H124" i="38"/>
  <c r="G124" i="38"/>
  <c r="F124" i="38"/>
  <c r="E124" i="38"/>
  <c r="C124" i="38"/>
  <c r="S123" i="38"/>
  <c r="Q123" i="38"/>
  <c r="P123" i="38"/>
  <c r="J123" i="38"/>
  <c r="I123" i="38"/>
  <c r="H123" i="38"/>
  <c r="G123" i="38"/>
  <c r="F123" i="38"/>
  <c r="E123" i="38"/>
  <c r="C123" i="38"/>
  <c r="S122" i="38"/>
  <c r="Q122" i="38"/>
  <c r="P122" i="38"/>
  <c r="J122" i="38"/>
  <c r="I122" i="38"/>
  <c r="H122" i="38"/>
  <c r="G122" i="38"/>
  <c r="F122" i="38"/>
  <c r="C122" i="38"/>
  <c r="Q121" i="38"/>
  <c r="I121" i="38"/>
  <c r="H121" i="38"/>
  <c r="E121" i="38"/>
  <c r="C121" i="38"/>
  <c r="S119" i="38"/>
  <c r="Q119" i="38"/>
  <c r="P119" i="38"/>
  <c r="J119" i="38"/>
  <c r="I119" i="38"/>
  <c r="H119" i="38"/>
  <c r="G119" i="38"/>
  <c r="F119" i="38"/>
  <c r="C119" i="38"/>
  <c r="S118" i="38"/>
  <c r="Q118" i="38"/>
  <c r="P118" i="38"/>
  <c r="J118" i="38"/>
  <c r="I118" i="38"/>
  <c r="H118" i="38"/>
  <c r="G118" i="38"/>
  <c r="F118" i="38"/>
  <c r="C118" i="38"/>
  <c r="S117" i="38"/>
  <c r="Q117" i="38"/>
  <c r="P117" i="38"/>
  <c r="J117" i="38"/>
  <c r="I117" i="38"/>
  <c r="H117" i="38"/>
  <c r="G117" i="38"/>
  <c r="F117" i="38"/>
  <c r="C117" i="38"/>
  <c r="Q116" i="38"/>
  <c r="I116" i="38"/>
  <c r="H116" i="38"/>
  <c r="E116" i="38"/>
  <c r="C116" i="38"/>
  <c r="F98" i="38"/>
  <c r="F97" i="38"/>
  <c r="I97" i="38" s="1"/>
  <c r="F96" i="38"/>
  <c r="F95" i="38"/>
  <c r="I95" i="38" s="1"/>
  <c r="I94" i="38"/>
  <c r="F94" i="38"/>
  <c r="F93" i="38"/>
  <c r="I93" i="38" s="1"/>
  <c r="R86" i="38"/>
  <c r="Q86" i="38"/>
  <c r="K86" i="38"/>
  <c r="H86" i="38"/>
  <c r="G86" i="38"/>
  <c r="F86" i="38"/>
  <c r="E86" i="38"/>
  <c r="K84" i="38"/>
  <c r="I84" i="38"/>
  <c r="H84" i="38"/>
  <c r="G84" i="38"/>
  <c r="E84" i="38"/>
  <c r="K82" i="38"/>
  <c r="H82" i="38"/>
  <c r="G82" i="38"/>
  <c r="E82" i="38"/>
  <c r="R80" i="38"/>
  <c r="K80" i="38"/>
  <c r="H80" i="38"/>
  <c r="G80" i="38"/>
  <c r="F80" i="38"/>
  <c r="E80" i="38"/>
  <c r="Q78" i="38"/>
  <c r="K78" i="38"/>
  <c r="I78" i="38"/>
  <c r="H78" i="38"/>
  <c r="G78" i="38"/>
  <c r="F78" i="38"/>
  <c r="E78" i="38"/>
  <c r="Q76" i="38"/>
  <c r="K76" i="38"/>
  <c r="H76" i="38"/>
  <c r="G76" i="38"/>
  <c r="E76" i="38"/>
  <c r="O74" i="38"/>
  <c r="K74" i="38"/>
  <c r="I74" i="38"/>
  <c r="H74" i="38"/>
  <c r="G74" i="38"/>
  <c r="F74" i="38"/>
  <c r="E74" i="38"/>
  <c r="R72" i="38"/>
  <c r="P72" i="38"/>
  <c r="K72" i="38"/>
  <c r="H72" i="38"/>
  <c r="G72" i="38"/>
  <c r="F72" i="38"/>
  <c r="E72" i="38"/>
  <c r="R70" i="38"/>
  <c r="O70" i="38"/>
  <c r="K70" i="38"/>
  <c r="I70" i="38"/>
  <c r="H70" i="38"/>
  <c r="G70" i="38"/>
  <c r="F70" i="38"/>
  <c r="E70" i="38"/>
  <c r="R68" i="38"/>
  <c r="Q68" i="38"/>
  <c r="K68" i="38"/>
  <c r="I68" i="38"/>
  <c r="H68" i="38"/>
  <c r="G68" i="38"/>
  <c r="F68" i="38"/>
  <c r="E68" i="38"/>
  <c r="Q66" i="38"/>
  <c r="P66" i="38"/>
  <c r="K66" i="38"/>
  <c r="H66" i="38"/>
  <c r="G66" i="38"/>
  <c r="F66" i="38"/>
  <c r="E66" i="38"/>
  <c r="R64" i="38"/>
  <c r="Q64" i="38"/>
  <c r="K64" i="38"/>
  <c r="I64" i="38"/>
  <c r="H64" i="38"/>
  <c r="G64" i="38"/>
  <c r="F64" i="38"/>
  <c r="E64" i="38"/>
  <c r="I48" i="38"/>
  <c r="I47" i="38"/>
  <c r="R30" i="38" s="1"/>
  <c r="I46" i="38"/>
  <c r="S32" i="38" s="1"/>
  <c r="I45" i="38"/>
  <c r="Q28" i="38" s="1"/>
  <c r="I44" i="38"/>
  <c r="I43" i="38"/>
  <c r="I42" i="38"/>
  <c r="O20" i="38" s="1"/>
  <c r="T32" i="38"/>
  <c r="R32" i="38"/>
  <c r="P32" i="38"/>
  <c r="K32" i="38"/>
  <c r="J32" i="38"/>
  <c r="I32" i="38"/>
  <c r="H32" i="38"/>
  <c r="G32" i="38"/>
  <c r="F32" i="38"/>
  <c r="E32" i="38"/>
  <c r="T30" i="38"/>
  <c r="S30" i="38"/>
  <c r="Q30" i="38"/>
  <c r="P30" i="38"/>
  <c r="K30" i="38"/>
  <c r="J30" i="38"/>
  <c r="I30" i="38"/>
  <c r="H30" i="38"/>
  <c r="G30" i="38"/>
  <c r="F30" i="38"/>
  <c r="E30" i="38"/>
  <c r="T28" i="38"/>
  <c r="R28" i="38"/>
  <c r="P28" i="38"/>
  <c r="K28" i="38"/>
  <c r="J28" i="38"/>
  <c r="I28" i="38"/>
  <c r="H28" i="38"/>
  <c r="G28" i="38"/>
  <c r="F28" i="38"/>
  <c r="E28" i="38"/>
  <c r="T26" i="38"/>
  <c r="R26" i="38"/>
  <c r="Q26" i="38"/>
  <c r="P26" i="38"/>
  <c r="K26" i="38"/>
  <c r="J26" i="38"/>
  <c r="I26" i="38"/>
  <c r="H26" i="38"/>
  <c r="G26" i="38"/>
  <c r="F26" i="38"/>
  <c r="E26" i="38"/>
  <c r="T24" i="38"/>
  <c r="S24" i="38"/>
  <c r="R24" i="38"/>
  <c r="P24" i="38"/>
  <c r="O24" i="38"/>
  <c r="K24" i="38"/>
  <c r="J24" i="38"/>
  <c r="I24" i="38"/>
  <c r="H24" i="38"/>
  <c r="G24" i="38"/>
  <c r="F24" i="38"/>
  <c r="E24" i="38"/>
  <c r="T22" i="38"/>
  <c r="R22" i="38"/>
  <c r="Q22" i="38"/>
  <c r="P22" i="38"/>
  <c r="K22" i="38"/>
  <c r="J22" i="38"/>
  <c r="I22" i="38"/>
  <c r="H22" i="38"/>
  <c r="G22" i="38"/>
  <c r="F22" i="38"/>
  <c r="E22" i="38"/>
  <c r="T20" i="38"/>
  <c r="R20" i="38"/>
  <c r="P20" i="38"/>
  <c r="K20" i="38"/>
  <c r="J20" i="38"/>
  <c r="I20" i="38"/>
  <c r="H20" i="38"/>
  <c r="G20" i="38"/>
  <c r="F20" i="38"/>
  <c r="E20" i="38"/>
  <c r="T18" i="38"/>
  <c r="S18" i="38"/>
  <c r="P18" i="38"/>
  <c r="O18" i="38"/>
  <c r="K18" i="38"/>
  <c r="J18" i="38"/>
  <c r="I18" i="38"/>
  <c r="H18" i="38"/>
  <c r="G18" i="38"/>
  <c r="F18" i="38"/>
  <c r="E18" i="38"/>
  <c r="T16" i="38"/>
  <c r="S16" i="38"/>
  <c r="R16" i="38"/>
  <c r="P16" i="38"/>
  <c r="O16" i="38"/>
  <c r="K16" i="38"/>
  <c r="J16" i="38"/>
  <c r="I16" i="38"/>
  <c r="H16" i="38"/>
  <c r="G16" i="38"/>
  <c r="F16" i="38"/>
  <c r="E16" i="38"/>
  <c r="T14" i="38"/>
  <c r="R14" i="38"/>
  <c r="Q14" i="38"/>
  <c r="P14" i="38"/>
  <c r="K14" i="38"/>
  <c r="J14" i="38"/>
  <c r="I14" i="38"/>
  <c r="H14" i="38"/>
  <c r="G14" i="38"/>
  <c r="F14" i="38"/>
  <c r="E14" i="38"/>
  <c r="T12" i="38"/>
  <c r="S12" i="38"/>
  <c r="R12" i="38"/>
  <c r="P12" i="38"/>
  <c r="O12" i="38"/>
  <c r="K12" i="38"/>
  <c r="J12" i="38"/>
  <c r="I12" i="38"/>
  <c r="H12" i="38"/>
  <c r="G12" i="38"/>
  <c r="F12" i="38"/>
  <c r="E12" i="38"/>
  <c r="R21" i="39" l="1"/>
  <c r="K13" i="39"/>
  <c r="O18" i="39"/>
  <c r="E75" i="39"/>
  <c r="L88" i="39"/>
  <c r="O71" i="39" s="1"/>
  <c r="E12" i="39"/>
  <c r="H12" i="39"/>
  <c r="E14" i="39"/>
  <c r="H14" i="39"/>
  <c r="E16" i="39"/>
  <c r="H16" i="39"/>
  <c r="E18" i="39"/>
  <c r="H18" i="39"/>
  <c r="E20" i="39"/>
  <c r="H20" i="39"/>
  <c r="K22" i="39"/>
  <c r="Q21" i="39"/>
  <c r="Q20" i="39"/>
  <c r="Q17" i="39"/>
  <c r="Q16" i="39"/>
  <c r="Q13" i="39"/>
  <c r="Q12" i="39"/>
  <c r="Q68" i="39"/>
  <c r="E70" i="39"/>
  <c r="E71" i="39"/>
  <c r="E13" i="39"/>
  <c r="H13" i="39"/>
  <c r="E17" i="39"/>
  <c r="H17" i="39"/>
  <c r="E21" i="39"/>
  <c r="H21" i="39"/>
  <c r="R13" i="39"/>
  <c r="K17" i="39"/>
  <c r="R17" i="39"/>
  <c r="K21" i="39"/>
  <c r="E22" i="39"/>
  <c r="H22" i="39"/>
  <c r="T21" i="39"/>
  <c r="T20" i="39"/>
  <c r="T17" i="39"/>
  <c r="T16" i="39"/>
  <c r="T13" i="39"/>
  <c r="T12" i="39"/>
  <c r="O13" i="39"/>
  <c r="O17" i="39"/>
  <c r="O21" i="39"/>
  <c r="O68" i="39"/>
  <c r="Q72" i="39"/>
  <c r="E74" i="39"/>
  <c r="O76" i="39"/>
  <c r="P21" i="39"/>
  <c r="R66" i="39"/>
  <c r="R67" i="39"/>
  <c r="R68" i="39"/>
  <c r="R70" i="39"/>
  <c r="R71" i="39"/>
  <c r="R72" i="39"/>
  <c r="R74" i="39"/>
  <c r="R75" i="39"/>
  <c r="R76" i="39"/>
  <c r="K66" i="39"/>
  <c r="S66" i="39"/>
  <c r="K67" i="39"/>
  <c r="S67" i="39"/>
  <c r="K68" i="39"/>
  <c r="K70" i="39"/>
  <c r="S70" i="39"/>
  <c r="K71" i="39"/>
  <c r="S71" i="39"/>
  <c r="K72" i="39"/>
  <c r="K74" i="39"/>
  <c r="S74" i="39"/>
  <c r="K75" i="39"/>
  <c r="K76" i="39"/>
  <c r="P86" i="38"/>
  <c r="P78" i="38"/>
  <c r="P80" i="38"/>
  <c r="P76" i="38"/>
  <c r="P70" i="38"/>
  <c r="J82" i="38"/>
  <c r="J84" i="38"/>
  <c r="J76" i="38"/>
  <c r="J74" i="38"/>
  <c r="J66" i="38"/>
  <c r="O123" i="38"/>
  <c r="T127" i="38"/>
  <c r="Q20" i="38"/>
  <c r="J70" i="38"/>
  <c r="J78" i="38"/>
  <c r="J80" i="38"/>
  <c r="P84" i="38"/>
  <c r="Q80" i="38"/>
  <c r="Q82" i="38"/>
  <c r="Q72" i="38"/>
  <c r="I98" i="38"/>
  <c r="O118" i="38"/>
  <c r="E119" i="38"/>
  <c r="O126" i="38"/>
  <c r="T126" i="38"/>
  <c r="M142" i="38"/>
  <c r="O127" i="38" s="1"/>
  <c r="E127" i="38"/>
  <c r="E122" i="38"/>
  <c r="E117" i="38"/>
  <c r="T128" i="38"/>
  <c r="T123" i="38"/>
  <c r="T118" i="38"/>
  <c r="O14" i="38"/>
  <c r="S14" i="38"/>
  <c r="Q18" i="38"/>
  <c r="O22" i="38"/>
  <c r="S22" i="38"/>
  <c r="O26" i="38"/>
  <c r="S26" i="38"/>
  <c r="S28" i="38"/>
  <c r="O30" i="38"/>
  <c r="O32" i="38"/>
  <c r="J64" i="38"/>
  <c r="J68" i="38"/>
  <c r="Q70" i="38"/>
  <c r="P74" i="38"/>
  <c r="P82" i="38"/>
  <c r="Q84" i="38"/>
  <c r="J86" i="38"/>
  <c r="O84" i="38"/>
  <c r="O76" i="38"/>
  <c r="O86" i="38"/>
  <c r="O78" i="38"/>
  <c r="O82" i="38"/>
  <c r="O80" i="38"/>
  <c r="O68" i="38"/>
  <c r="O64" i="38"/>
  <c r="I80" i="38"/>
  <c r="I82" i="38"/>
  <c r="I96" i="38"/>
  <c r="I86" i="38"/>
  <c r="I76" i="38"/>
  <c r="I72" i="38"/>
  <c r="O117" i="38"/>
  <c r="T117" i="38"/>
  <c r="E118" i="38"/>
  <c r="O121" i="38"/>
  <c r="T121" i="38"/>
  <c r="P126" i="38"/>
  <c r="P121" i="38"/>
  <c r="P116" i="38"/>
  <c r="S126" i="38"/>
  <c r="S121" i="38"/>
  <c r="Q12" i="38"/>
  <c r="Q16" i="38"/>
  <c r="R18" i="38"/>
  <c r="S20" i="38"/>
  <c r="Q24" i="38"/>
  <c r="O28" i="38"/>
  <c r="Q32" i="38"/>
  <c r="P64" i="38"/>
  <c r="I66" i="38"/>
  <c r="O66" i="38"/>
  <c r="P68" i="38"/>
  <c r="J72" i="38"/>
  <c r="O72" i="38"/>
  <c r="Q74" i="38"/>
  <c r="R82" i="38"/>
  <c r="R84" i="38"/>
  <c r="R76" i="38"/>
  <c r="R78" i="38"/>
  <c r="R74" i="38"/>
  <c r="R66" i="38"/>
  <c r="S116" i="38"/>
  <c r="O128" i="38"/>
  <c r="E129" i="38"/>
  <c r="F82" i="38"/>
  <c r="F84" i="38"/>
  <c r="F76" i="38"/>
  <c r="O119" i="38"/>
  <c r="O124" i="38"/>
  <c r="O129" i="38"/>
  <c r="F116" i="38"/>
  <c r="J116" i="38"/>
  <c r="R116" i="38"/>
  <c r="R117" i="38"/>
  <c r="R118" i="38"/>
  <c r="R119" i="38"/>
  <c r="F121" i="38"/>
  <c r="J121" i="38"/>
  <c r="R121" i="38"/>
  <c r="R122" i="38"/>
  <c r="R123" i="38"/>
  <c r="R124" i="38"/>
  <c r="J126" i="38"/>
  <c r="R126" i="38"/>
  <c r="R127" i="38"/>
  <c r="R128" i="38"/>
  <c r="R129" i="38"/>
  <c r="G116" i="38"/>
  <c r="K116" i="38"/>
  <c r="O116" i="38"/>
  <c r="K117" i="38"/>
  <c r="K118" i="38"/>
  <c r="K119" i="38"/>
  <c r="G121" i="38"/>
  <c r="K121" i="38"/>
  <c r="K122" i="38"/>
  <c r="K123" i="38"/>
  <c r="K124" i="38"/>
  <c r="G126" i="38"/>
  <c r="K126" i="38"/>
  <c r="K127" i="38"/>
  <c r="K128" i="38"/>
  <c r="K129" i="38"/>
  <c r="O75" i="39" l="1"/>
  <c r="O67" i="39"/>
  <c r="O74" i="39"/>
  <c r="O66" i="39"/>
  <c r="O70" i="39"/>
  <c r="S84" i="38"/>
  <c r="S76" i="38"/>
  <c r="S86" i="38"/>
  <c r="S78" i="38"/>
  <c r="S68" i="38"/>
  <c r="S64" i="38"/>
  <c r="S82" i="38"/>
  <c r="S72" i="38"/>
  <c r="S66" i="38"/>
  <c r="S80" i="38"/>
  <c r="S74" i="38"/>
  <c r="S70" i="38"/>
  <c r="T86" i="38"/>
  <c r="T78" i="38"/>
  <c r="T80" i="38"/>
  <c r="T84" i="38"/>
  <c r="T70" i="38"/>
  <c r="T72" i="38"/>
  <c r="T66" i="38"/>
  <c r="T68" i="38"/>
  <c r="T64" i="38"/>
  <c r="T76" i="38"/>
  <c r="T74" i="38"/>
  <c r="T82" i="38"/>
  <c r="O122" i="38"/>
  <c r="H88" i="6" l="1"/>
  <c r="H81" i="6"/>
  <c r="J81" i="6"/>
  <c r="O33" i="3"/>
  <c r="H33" i="3"/>
  <c r="F5" i="10"/>
  <c r="F6" i="10"/>
  <c r="F7" i="10"/>
  <c r="F8" i="10"/>
  <c r="F9" i="10"/>
  <c r="F10" i="10"/>
  <c r="F4" i="10"/>
  <c r="N338" i="24"/>
  <c r="H20" i="7" l="1"/>
  <c r="H18" i="7"/>
  <c r="H134" i="11"/>
  <c r="H133" i="11"/>
  <c r="H129" i="11"/>
  <c r="H128" i="11"/>
  <c r="H108" i="11"/>
  <c r="H107" i="11"/>
  <c r="H103" i="11"/>
  <c r="H102" i="11"/>
  <c r="H101" i="11"/>
  <c r="H100" i="11"/>
  <c r="H99" i="11"/>
  <c r="H98" i="11"/>
  <c r="H94" i="11"/>
  <c r="H93" i="11"/>
  <c r="H92" i="11"/>
  <c r="H88" i="11"/>
  <c r="H87" i="11"/>
  <c r="H86" i="11"/>
  <c r="H85" i="11"/>
  <c r="H81" i="11"/>
  <c r="H80" i="11"/>
  <c r="H79" i="11"/>
  <c r="H78" i="11"/>
  <c r="H74" i="11"/>
  <c r="H73" i="11"/>
  <c r="H46" i="11"/>
  <c r="H45" i="11"/>
  <c r="H42" i="11"/>
  <c r="H41" i="11"/>
  <c r="H37" i="11"/>
  <c r="H36" i="11"/>
  <c r="H32" i="11"/>
  <c r="H31" i="11"/>
  <c r="H30" i="11"/>
  <c r="H26" i="11"/>
  <c r="H25" i="11"/>
  <c r="H24" i="11"/>
  <c r="H23" i="11"/>
  <c r="H19" i="11"/>
  <c r="H18" i="11"/>
  <c r="H134" i="6"/>
  <c r="H133" i="6"/>
  <c r="H129" i="6"/>
  <c r="H128" i="6"/>
  <c r="H108" i="6"/>
  <c r="H107" i="6"/>
  <c r="H103" i="6"/>
  <c r="H102" i="6"/>
  <c r="H101" i="6"/>
  <c r="H100" i="6"/>
  <c r="H99" i="6"/>
  <c r="H98" i="6"/>
  <c r="H94" i="6"/>
  <c r="H93" i="6"/>
  <c r="H92" i="6"/>
  <c r="H87" i="6"/>
  <c r="H86" i="6"/>
  <c r="H85" i="6"/>
  <c r="H89" i="6" s="1"/>
  <c r="H80" i="6"/>
  <c r="H79" i="6"/>
  <c r="H78" i="6"/>
  <c r="H74" i="6"/>
  <c r="H73" i="6"/>
  <c r="H46" i="6"/>
  <c r="H45" i="6"/>
  <c r="H42" i="6"/>
  <c r="H41" i="6"/>
  <c r="H37" i="6"/>
  <c r="H36" i="6"/>
  <c r="H32" i="6"/>
  <c r="H31" i="6"/>
  <c r="H30" i="6"/>
  <c r="H26" i="6"/>
  <c r="H25" i="6"/>
  <c r="H24" i="6"/>
  <c r="H23" i="6"/>
  <c r="H19" i="6"/>
  <c r="H18" i="6"/>
  <c r="H29" i="3"/>
  <c r="H28" i="3"/>
  <c r="H27" i="3"/>
  <c r="H20" i="3"/>
  <c r="H19" i="3"/>
  <c r="H77" i="4"/>
  <c r="H73" i="4"/>
  <c r="H35" i="4"/>
  <c r="H34" i="4"/>
  <c r="H26" i="4"/>
  <c r="H25" i="4"/>
  <c r="H21" i="4"/>
  <c r="H20" i="4"/>
  <c r="H19" i="4"/>
  <c r="I349" i="5"/>
  <c r="I348" i="5"/>
  <c r="I347" i="5"/>
  <c r="I346" i="5"/>
  <c r="I345" i="5"/>
  <c r="I344" i="5"/>
  <c r="I316" i="5"/>
  <c r="I315" i="5"/>
  <c r="I314" i="5"/>
  <c r="I313" i="5"/>
  <c r="I310" i="5"/>
  <c r="I309" i="5"/>
  <c r="I308" i="5"/>
  <c r="I307" i="5"/>
  <c r="I303" i="5"/>
  <c r="I302" i="5"/>
  <c r="I301" i="5"/>
  <c r="I300" i="5"/>
  <c r="I299" i="5"/>
  <c r="I298" i="5"/>
  <c r="I295" i="5"/>
  <c r="I294" i="5"/>
  <c r="I293" i="5"/>
  <c r="I292" i="5"/>
  <c r="I291" i="5"/>
  <c r="I290" i="5"/>
  <c r="I263" i="5"/>
  <c r="I262" i="5"/>
  <c r="I261" i="5"/>
  <c r="I260" i="5"/>
  <c r="I259" i="5"/>
  <c r="I258" i="5"/>
  <c r="I257" i="5"/>
  <c r="I256" i="5"/>
  <c r="I255" i="5"/>
  <c r="I254" i="5"/>
  <c r="I253" i="5"/>
  <c r="I252" i="5"/>
  <c r="I251" i="5"/>
  <c r="I250" i="5"/>
  <c r="I249" i="5"/>
  <c r="I248" i="5"/>
  <c r="I247" i="5"/>
  <c r="I246" i="5"/>
  <c r="I244" i="5"/>
  <c r="I243" i="5"/>
  <c r="I242" i="5"/>
  <c r="I241" i="5"/>
  <c r="I240" i="5"/>
  <c r="I239" i="5"/>
  <c r="I238" i="5"/>
  <c r="I237" i="5"/>
  <c r="I236" i="5"/>
  <c r="I215" i="5"/>
  <c r="I214" i="5"/>
  <c r="I213" i="5"/>
  <c r="I212" i="5"/>
  <c r="I211" i="5"/>
  <c r="I210" i="5"/>
  <c r="I209" i="5"/>
  <c r="I208" i="5"/>
  <c r="I207" i="5"/>
  <c r="I206" i="5"/>
  <c r="I205" i="5"/>
  <c r="I186" i="5"/>
  <c r="I185" i="5"/>
  <c r="I184" i="5"/>
  <c r="I183" i="5"/>
  <c r="I182" i="5"/>
  <c r="I181" i="5"/>
  <c r="I152" i="5"/>
  <c r="I151" i="5"/>
  <c r="I150" i="5"/>
  <c r="I145" i="5"/>
  <c r="I144" i="5"/>
  <c r="I140" i="5"/>
  <c r="I139" i="5"/>
  <c r="I138" i="5"/>
  <c r="I134" i="5"/>
  <c r="I133" i="5"/>
  <c r="I132" i="5"/>
  <c r="I128" i="5"/>
  <c r="I127" i="5"/>
  <c r="I126" i="5"/>
  <c r="I87" i="5"/>
  <c r="I86" i="5"/>
  <c r="I85" i="5"/>
  <c r="I84" i="5"/>
  <c r="I83" i="5"/>
  <c r="I82" i="5"/>
  <c r="I77" i="5"/>
  <c r="I76" i="5"/>
  <c r="I75" i="5"/>
  <c r="I74" i="5"/>
  <c r="I51" i="5"/>
  <c r="I50" i="5"/>
  <c r="I49" i="5"/>
  <c r="I48" i="5"/>
  <c r="I47" i="5"/>
  <c r="I46" i="5"/>
  <c r="I45" i="5"/>
  <c r="I44" i="5"/>
  <c r="I43" i="5"/>
  <c r="I29" i="5"/>
  <c r="I28" i="5"/>
  <c r="I27" i="5"/>
  <c r="I23" i="5"/>
  <c r="I22" i="5"/>
  <c r="I21" i="5"/>
  <c r="I20" i="5"/>
  <c r="I19" i="5"/>
  <c r="I18" i="5"/>
  <c r="P205" i="5"/>
  <c r="I191" i="5"/>
  <c r="I192" i="5"/>
  <c r="I193" i="5"/>
  <c r="I194" i="5"/>
  <c r="I195" i="5"/>
  <c r="I196" i="5"/>
  <c r="I197" i="5"/>
  <c r="I198" i="5"/>
  <c r="I199" i="5"/>
  <c r="I200" i="5"/>
  <c r="I201" i="5"/>
  <c r="I190" i="5"/>
  <c r="I36" i="5"/>
  <c r="I37" i="5"/>
  <c r="I38" i="5"/>
  <c r="I30" i="5"/>
  <c r="I31" i="5"/>
  <c r="I32" i="5"/>
  <c r="I33" i="5"/>
  <c r="I34" i="5"/>
  <c r="I35" i="5"/>
  <c r="H28" i="4"/>
  <c r="H29" i="4"/>
  <c r="H27" i="4"/>
  <c r="Q81" i="6"/>
  <c r="H82" i="11" l="1"/>
  <c r="H89" i="11"/>
  <c r="H27" i="11"/>
  <c r="H82" i="6"/>
  <c r="H27" i="6"/>
  <c r="S33" i="3"/>
  <c r="L33" i="3"/>
  <c r="L34" i="3" s="1"/>
  <c r="U33" i="3" l="1"/>
  <c r="V33" i="3" s="1"/>
  <c r="S34" i="3"/>
  <c r="U34" i="3" s="1"/>
  <c r="V34" i="3" s="1"/>
  <c r="Q333" i="24" l="1"/>
  <c r="P333" i="24"/>
  <c r="Q332" i="24"/>
  <c r="P332" i="24"/>
  <c r="Q327" i="24"/>
  <c r="P327" i="24"/>
  <c r="Q326" i="24"/>
  <c r="P326" i="24"/>
  <c r="Q306" i="24"/>
  <c r="P306" i="24"/>
  <c r="Q305" i="24"/>
  <c r="P305" i="24"/>
  <c r="Q304" i="24"/>
  <c r="P304" i="24"/>
  <c r="Q303" i="24"/>
  <c r="P303" i="24"/>
  <c r="Q302" i="24"/>
  <c r="P302" i="24"/>
  <c r="Q301" i="24"/>
  <c r="P301" i="24"/>
  <c r="Q300" i="24"/>
  <c r="P300" i="24"/>
  <c r="Q299" i="24"/>
  <c r="P299" i="24"/>
  <c r="Q298" i="24"/>
  <c r="P298" i="24"/>
  <c r="Q297" i="24"/>
  <c r="P297" i="24"/>
  <c r="Q296" i="24"/>
  <c r="P296" i="24"/>
  <c r="Q295" i="24"/>
  <c r="P295" i="24"/>
  <c r="Q294" i="24"/>
  <c r="P294" i="24"/>
  <c r="Q293" i="24"/>
  <c r="P293" i="24"/>
  <c r="Q292" i="24"/>
  <c r="P292" i="24"/>
  <c r="Q291" i="24"/>
  <c r="P291" i="24"/>
  <c r="Q290" i="24"/>
  <c r="P290" i="24"/>
  <c r="Q289" i="24"/>
  <c r="P289" i="24"/>
  <c r="Q288" i="24"/>
  <c r="P288" i="24"/>
  <c r="Q287" i="24"/>
  <c r="P287" i="24"/>
  <c r="Q286" i="24"/>
  <c r="P286" i="24"/>
  <c r="Q285" i="24"/>
  <c r="P285" i="24"/>
  <c r="Q284" i="24"/>
  <c r="P284" i="24"/>
  <c r="Q283" i="24"/>
  <c r="P283" i="24"/>
  <c r="Q282" i="24"/>
  <c r="P282" i="24"/>
  <c r="Q281" i="24"/>
  <c r="P281" i="24"/>
  <c r="Q280" i="24"/>
  <c r="P280" i="24"/>
  <c r="Q279" i="24"/>
  <c r="P279" i="24"/>
  <c r="Q278" i="24"/>
  <c r="P278" i="24"/>
  <c r="Q277" i="24"/>
  <c r="P277" i="24"/>
  <c r="Q276" i="24"/>
  <c r="P276" i="24"/>
  <c r="Q275" i="24"/>
  <c r="P275" i="24"/>
  <c r="Q274" i="24"/>
  <c r="P274" i="24"/>
  <c r="Q243" i="24"/>
  <c r="P243" i="24"/>
  <c r="Q242" i="24"/>
  <c r="P242" i="24"/>
  <c r="Q241" i="24"/>
  <c r="P241" i="24"/>
  <c r="Q240" i="24"/>
  <c r="P240" i="24"/>
  <c r="Q239" i="24"/>
  <c r="P239" i="24"/>
  <c r="Q238" i="24"/>
  <c r="P238" i="24"/>
  <c r="Q237" i="24"/>
  <c r="P237" i="24"/>
  <c r="Q236" i="24"/>
  <c r="P236" i="24"/>
  <c r="Q235" i="24"/>
  <c r="P235" i="24"/>
  <c r="Q234" i="24"/>
  <c r="P234" i="24"/>
  <c r="Q233" i="24"/>
  <c r="P233" i="24"/>
  <c r="Q232" i="24"/>
  <c r="P232" i="24"/>
  <c r="Q231" i="24"/>
  <c r="P231" i="24"/>
  <c r="Q230" i="24"/>
  <c r="P230" i="24"/>
  <c r="Q229" i="24"/>
  <c r="P229" i="24"/>
  <c r="Q228" i="24"/>
  <c r="P228" i="24"/>
  <c r="Q227" i="24"/>
  <c r="P227" i="24"/>
  <c r="Q226" i="24"/>
  <c r="P226" i="24"/>
  <c r="Q225" i="24"/>
  <c r="P225" i="24"/>
  <c r="Q224" i="24"/>
  <c r="P224" i="24"/>
  <c r="Q223" i="24"/>
  <c r="P223" i="24"/>
  <c r="Q190" i="24"/>
  <c r="P190" i="24"/>
  <c r="Q189" i="24"/>
  <c r="P189" i="24"/>
  <c r="Q188" i="24"/>
  <c r="P188" i="24"/>
  <c r="Q187" i="24"/>
  <c r="P187" i="24"/>
  <c r="Q186" i="24"/>
  <c r="P186" i="24"/>
  <c r="Q185" i="24"/>
  <c r="P185" i="24"/>
  <c r="Q184" i="24"/>
  <c r="P184" i="24"/>
  <c r="Q183" i="24"/>
  <c r="P183" i="24"/>
  <c r="Q182" i="24"/>
  <c r="P182" i="24"/>
  <c r="Q181" i="24"/>
  <c r="P181" i="24"/>
  <c r="Q180" i="24"/>
  <c r="P180" i="24"/>
  <c r="Q179" i="24"/>
  <c r="P179" i="24"/>
  <c r="Q178" i="24"/>
  <c r="P178" i="24"/>
  <c r="Q177" i="24"/>
  <c r="P177" i="24"/>
  <c r="Q176" i="24"/>
  <c r="P176" i="24"/>
  <c r="Q175" i="24"/>
  <c r="P175" i="24"/>
  <c r="Q174" i="24"/>
  <c r="P174" i="24"/>
  <c r="Q173" i="24"/>
  <c r="P173" i="24"/>
  <c r="Q172" i="24"/>
  <c r="P172" i="24"/>
  <c r="Q171" i="24"/>
  <c r="P171" i="24"/>
  <c r="Q170" i="24"/>
  <c r="P170" i="24"/>
  <c r="Q153" i="24"/>
  <c r="P153" i="24"/>
  <c r="Q152" i="24"/>
  <c r="P152" i="24"/>
  <c r="Q151" i="24"/>
  <c r="P151" i="24"/>
  <c r="Q150" i="24"/>
  <c r="P150" i="24"/>
  <c r="Q149" i="24"/>
  <c r="P149" i="24"/>
  <c r="Q148" i="24"/>
  <c r="P148" i="24"/>
  <c r="Q147" i="24"/>
  <c r="P147" i="24"/>
  <c r="Q146" i="24"/>
  <c r="P146" i="24"/>
  <c r="Q145" i="24"/>
  <c r="P145" i="24"/>
  <c r="Q144" i="24"/>
  <c r="P144" i="24"/>
  <c r="Q143" i="24"/>
  <c r="P143" i="24"/>
  <c r="Q142" i="24"/>
  <c r="P142" i="24"/>
  <c r="Q141" i="24"/>
  <c r="P141" i="24"/>
  <c r="Q140" i="24"/>
  <c r="P140" i="24"/>
  <c r="Q139" i="24"/>
  <c r="P139" i="24"/>
  <c r="Q138" i="24"/>
  <c r="P138" i="24"/>
  <c r="Q137" i="24"/>
  <c r="P137" i="24"/>
  <c r="Q134" i="24"/>
  <c r="P134" i="24"/>
  <c r="Q133" i="24"/>
  <c r="P133" i="24"/>
  <c r="Q132" i="24"/>
  <c r="P132" i="24"/>
  <c r="Q131" i="24"/>
  <c r="P131" i="24"/>
  <c r="Q130" i="24"/>
  <c r="P130" i="24"/>
  <c r="Q129" i="24"/>
  <c r="P129" i="24"/>
  <c r="Q128" i="24"/>
  <c r="P128" i="24"/>
  <c r="Q127" i="24"/>
  <c r="P127" i="24"/>
  <c r="Q126" i="24"/>
  <c r="P126" i="24"/>
  <c r="Q125" i="24"/>
  <c r="P125" i="24"/>
  <c r="Q124" i="24"/>
  <c r="P124" i="24"/>
  <c r="Q123" i="24"/>
  <c r="P123" i="24"/>
  <c r="Q122" i="24"/>
  <c r="P122" i="24"/>
  <c r="Q121" i="24"/>
  <c r="P121" i="24"/>
  <c r="Q120" i="24"/>
  <c r="P120" i="24"/>
  <c r="Q119" i="24"/>
  <c r="P119" i="24"/>
  <c r="Q118" i="24"/>
  <c r="P118" i="24"/>
  <c r="Q99" i="24"/>
  <c r="P99" i="24"/>
  <c r="Q98" i="24"/>
  <c r="P98" i="24"/>
  <c r="Q97" i="24"/>
  <c r="P97" i="24"/>
  <c r="Q96" i="24"/>
  <c r="P96" i="24"/>
  <c r="Q95" i="24"/>
  <c r="P95" i="24"/>
  <c r="Q94" i="24"/>
  <c r="P94" i="24"/>
  <c r="Q93" i="24"/>
  <c r="P93" i="24"/>
  <c r="Q92" i="24"/>
  <c r="P92" i="24"/>
  <c r="Q91" i="24"/>
  <c r="P91" i="24"/>
  <c r="Q90" i="24"/>
  <c r="P90" i="24"/>
  <c r="Q89" i="24"/>
  <c r="P89" i="24"/>
  <c r="Q88" i="24"/>
  <c r="P88" i="24"/>
  <c r="Q87" i="24"/>
  <c r="P87" i="24"/>
  <c r="Q86" i="24"/>
  <c r="P86" i="24"/>
  <c r="Q82" i="24"/>
  <c r="P82" i="24"/>
  <c r="Q81" i="24"/>
  <c r="P81" i="24"/>
  <c r="Q80" i="24"/>
  <c r="P80" i="24"/>
  <c r="Q79" i="24"/>
  <c r="P79" i="24"/>
  <c r="Q78" i="24"/>
  <c r="P78" i="24"/>
  <c r="Q77" i="24"/>
  <c r="P77" i="24"/>
  <c r="Q76" i="24"/>
  <c r="P76" i="24"/>
  <c r="Q75" i="24"/>
  <c r="P75" i="24"/>
  <c r="Q74" i="24"/>
  <c r="P74" i="24"/>
  <c r="Q73" i="24"/>
  <c r="P73" i="24"/>
  <c r="Q72" i="24"/>
  <c r="P72" i="24"/>
  <c r="Q71" i="24"/>
  <c r="P71" i="24"/>
  <c r="Q70" i="24"/>
  <c r="P70" i="24"/>
  <c r="Q69" i="24"/>
  <c r="P69" i="24"/>
  <c r="Q68" i="24"/>
  <c r="P68" i="24"/>
  <c r="Q67" i="24"/>
  <c r="P67" i="24"/>
  <c r="Q66" i="24"/>
  <c r="P66" i="24"/>
  <c r="Q47" i="24"/>
  <c r="P47" i="24"/>
  <c r="Q46" i="24"/>
  <c r="P46" i="24"/>
  <c r="Q45" i="24"/>
  <c r="P45" i="24"/>
  <c r="Q44" i="24"/>
  <c r="P44" i="24"/>
  <c r="Q43" i="24"/>
  <c r="P43" i="24"/>
  <c r="Q42" i="24"/>
  <c r="P42" i="24"/>
  <c r="Q41" i="24"/>
  <c r="P41" i="24"/>
  <c r="Q40" i="24"/>
  <c r="P40" i="24"/>
  <c r="Q39" i="24"/>
  <c r="P39" i="24"/>
  <c r="Q38" i="24"/>
  <c r="P38" i="24"/>
  <c r="Q37" i="24"/>
  <c r="P37" i="24"/>
  <c r="Q36" i="24"/>
  <c r="P36" i="24"/>
  <c r="Q35" i="24"/>
  <c r="P35" i="24"/>
  <c r="Q34" i="24"/>
  <c r="P34" i="24"/>
  <c r="Q29" i="24"/>
  <c r="P29" i="24"/>
  <c r="Q28" i="24"/>
  <c r="P28" i="24"/>
  <c r="Q27" i="24"/>
  <c r="P27" i="24"/>
  <c r="Q26" i="24"/>
  <c r="P26" i="24"/>
  <c r="Q25" i="24"/>
  <c r="P25" i="24"/>
  <c r="Q24" i="24"/>
  <c r="P24" i="24"/>
  <c r="Q23" i="24"/>
  <c r="P23" i="24"/>
  <c r="Q22" i="24"/>
  <c r="P22" i="24"/>
  <c r="Q21" i="24"/>
  <c r="P21" i="24"/>
  <c r="Q20" i="24"/>
  <c r="P20" i="24"/>
  <c r="Q19" i="24"/>
  <c r="P19" i="24"/>
  <c r="Q18" i="24"/>
  <c r="P18" i="24"/>
  <c r="Q17" i="24"/>
  <c r="P17" i="24"/>
  <c r="Q16" i="24"/>
  <c r="P16" i="24"/>
  <c r="Q15" i="24"/>
  <c r="P15" i="24"/>
  <c r="Q14" i="24"/>
  <c r="P14" i="24"/>
  <c r="P13" i="24"/>
  <c r="Q13" i="24" l="1"/>
  <c r="M103" i="5" l="1"/>
  <c r="T103" i="5" s="1"/>
  <c r="H38" i="4"/>
  <c r="H39" i="4" s="1"/>
  <c r="I99" i="5"/>
  <c r="P99" i="5" s="1"/>
  <c r="T99" i="5" s="1"/>
  <c r="T100" i="5" s="1"/>
  <c r="M104" i="5" l="1"/>
  <c r="I100" i="5"/>
  <c r="M99" i="5"/>
  <c r="M100" i="5" s="1"/>
  <c r="V100" i="5" s="1"/>
  <c r="W100" i="5" s="1"/>
  <c r="L38" i="4"/>
  <c r="L39" i="4" s="1"/>
  <c r="O38" i="4"/>
  <c r="S38" i="4" s="1"/>
  <c r="V99" i="5" l="1"/>
  <c r="W99" i="5" s="1"/>
  <c r="T104" i="5"/>
  <c r="V104" i="5" s="1"/>
  <c r="W104" i="5" s="1"/>
  <c r="V103" i="5"/>
  <c r="W103" i="5" s="1"/>
  <c r="S39" i="4"/>
  <c r="U38" i="4"/>
  <c r="V38" i="4" s="1"/>
  <c r="U39" i="4" l="1"/>
  <c r="V39" i="4" s="1"/>
  <c r="H36" i="3" l="1"/>
  <c r="L36" i="3" s="1"/>
  <c r="L37" i="3" s="1"/>
  <c r="O36" i="3" l="1"/>
  <c r="S36" i="3" s="1"/>
  <c r="H37" i="3"/>
  <c r="U36" i="3"/>
  <c r="V36" i="3" s="1"/>
  <c r="S37" i="3"/>
  <c r="U37" i="3" s="1"/>
  <c r="V37" i="3" s="1"/>
  <c r="P39" i="5" l="1"/>
  <c r="T39" i="5" s="1"/>
  <c r="I39" i="5"/>
  <c r="M39" i="5" s="1"/>
  <c r="O30" i="4"/>
  <c r="S30" i="4" s="1"/>
  <c r="H30" i="4"/>
  <c r="L30" i="4" s="1"/>
  <c r="H30" i="3"/>
  <c r="L30" i="3" s="1"/>
  <c r="O30" i="3"/>
  <c r="S30" i="3" s="1"/>
  <c r="U30" i="4" l="1"/>
  <c r="V30" i="4" s="1"/>
  <c r="U30" i="3"/>
  <c r="V30" i="3" s="1"/>
  <c r="V39" i="5"/>
  <c r="W39" i="5" s="1"/>
  <c r="N339" i="24"/>
  <c r="S338" i="24" l="1"/>
  <c r="L333" i="24"/>
  <c r="K333" i="24"/>
  <c r="L332" i="24"/>
  <c r="K332" i="24"/>
  <c r="L327" i="24"/>
  <c r="K327" i="24"/>
  <c r="L326" i="24"/>
  <c r="K326" i="24"/>
  <c r="L306" i="24"/>
  <c r="K306" i="24"/>
  <c r="L305" i="24"/>
  <c r="K305" i="24"/>
  <c r="L304" i="24"/>
  <c r="K304" i="24"/>
  <c r="L303" i="24"/>
  <c r="K303" i="24"/>
  <c r="L302" i="24"/>
  <c r="K302" i="24"/>
  <c r="L301" i="24"/>
  <c r="K301" i="24"/>
  <c r="L300" i="24"/>
  <c r="K300" i="24"/>
  <c r="L299" i="24"/>
  <c r="K299" i="24"/>
  <c r="L298" i="24"/>
  <c r="K298" i="24"/>
  <c r="L297" i="24"/>
  <c r="K297" i="24"/>
  <c r="L296" i="24"/>
  <c r="K296" i="24"/>
  <c r="L295" i="24"/>
  <c r="K295" i="24"/>
  <c r="L294" i="24"/>
  <c r="K294" i="24"/>
  <c r="L293" i="24"/>
  <c r="K293" i="24"/>
  <c r="L292" i="24"/>
  <c r="K292" i="24"/>
  <c r="L291" i="24"/>
  <c r="K291" i="24"/>
  <c r="L290" i="24"/>
  <c r="K290" i="24"/>
  <c r="L289" i="24"/>
  <c r="K289" i="24"/>
  <c r="L288" i="24"/>
  <c r="K288" i="24"/>
  <c r="L287" i="24"/>
  <c r="K287" i="24"/>
  <c r="L286" i="24"/>
  <c r="K286" i="24"/>
  <c r="L285" i="24"/>
  <c r="K285" i="24"/>
  <c r="L284" i="24"/>
  <c r="K284" i="24"/>
  <c r="L283" i="24"/>
  <c r="K283" i="24"/>
  <c r="L282" i="24"/>
  <c r="K282" i="24"/>
  <c r="L281" i="24"/>
  <c r="K281" i="24"/>
  <c r="L280" i="24"/>
  <c r="K280" i="24"/>
  <c r="L279" i="24"/>
  <c r="K279" i="24"/>
  <c r="L278" i="24"/>
  <c r="K278" i="24"/>
  <c r="L277" i="24"/>
  <c r="K277" i="24"/>
  <c r="L276" i="24"/>
  <c r="K276" i="24"/>
  <c r="L275" i="24"/>
  <c r="K275" i="24"/>
  <c r="L274" i="24"/>
  <c r="K274" i="24"/>
  <c r="L243" i="24"/>
  <c r="K243" i="24"/>
  <c r="L242" i="24"/>
  <c r="K242" i="24"/>
  <c r="L241" i="24"/>
  <c r="K241" i="24"/>
  <c r="L240" i="24"/>
  <c r="K240" i="24"/>
  <c r="L239" i="24"/>
  <c r="K239" i="24"/>
  <c r="L238" i="24"/>
  <c r="K238" i="24"/>
  <c r="L237" i="24"/>
  <c r="K237" i="24"/>
  <c r="L236" i="24"/>
  <c r="K236" i="24"/>
  <c r="L235" i="24"/>
  <c r="K235" i="24"/>
  <c r="L234" i="24"/>
  <c r="K234" i="24"/>
  <c r="L233" i="24"/>
  <c r="K233" i="24"/>
  <c r="L232" i="24"/>
  <c r="K232" i="24"/>
  <c r="L231" i="24"/>
  <c r="K231" i="24"/>
  <c r="L230" i="24"/>
  <c r="K230" i="24"/>
  <c r="L229" i="24"/>
  <c r="K229" i="24"/>
  <c r="L228" i="24"/>
  <c r="K228" i="24"/>
  <c r="L227" i="24"/>
  <c r="K227" i="24"/>
  <c r="L226" i="24"/>
  <c r="K226" i="24"/>
  <c r="L225" i="24"/>
  <c r="K225" i="24"/>
  <c r="L224" i="24"/>
  <c r="K224" i="24"/>
  <c r="L223" i="24"/>
  <c r="K223" i="24"/>
  <c r="L190" i="24"/>
  <c r="K190" i="24"/>
  <c r="L189" i="24"/>
  <c r="K189" i="24"/>
  <c r="L188" i="24"/>
  <c r="K188" i="24"/>
  <c r="L187" i="24"/>
  <c r="K187" i="24"/>
  <c r="L186" i="24"/>
  <c r="K186" i="24"/>
  <c r="L185" i="24"/>
  <c r="K185" i="24"/>
  <c r="L184" i="24"/>
  <c r="K184" i="24"/>
  <c r="L183" i="24"/>
  <c r="K183" i="24"/>
  <c r="L182" i="24"/>
  <c r="K182" i="24"/>
  <c r="L181" i="24"/>
  <c r="K181" i="24"/>
  <c r="L180" i="24"/>
  <c r="K180" i="24"/>
  <c r="L179" i="24"/>
  <c r="K179" i="24"/>
  <c r="L178" i="24"/>
  <c r="K178" i="24"/>
  <c r="L177" i="24"/>
  <c r="K177" i="24"/>
  <c r="L176" i="24"/>
  <c r="K176" i="24"/>
  <c r="L175" i="24"/>
  <c r="K175" i="24"/>
  <c r="L174" i="24"/>
  <c r="K174" i="24"/>
  <c r="L173" i="24"/>
  <c r="K173" i="24"/>
  <c r="L172" i="24"/>
  <c r="K172" i="24"/>
  <c r="L171" i="24"/>
  <c r="K171" i="24"/>
  <c r="L170" i="24"/>
  <c r="K170" i="24"/>
  <c r="L153" i="24"/>
  <c r="K153" i="24"/>
  <c r="L152" i="24"/>
  <c r="K152" i="24"/>
  <c r="L151" i="24"/>
  <c r="K151" i="24"/>
  <c r="L150" i="24"/>
  <c r="K150" i="24"/>
  <c r="L149" i="24"/>
  <c r="K149" i="24"/>
  <c r="L148" i="24"/>
  <c r="K148" i="24"/>
  <c r="L147" i="24"/>
  <c r="K147" i="24"/>
  <c r="L146" i="24"/>
  <c r="K146" i="24"/>
  <c r="L145" i="24"/>
  <c r="K145" i="24"/>
  <c r="L144" i="24"/>
  <c r="K144" i="24"/>
  <c r="L143" i="24"/>
  <c r="K143" i="24"/>
  <c r="L142" i="24"/>
  <c r="K142" i="24"/>
  <c r="L141" i="24"/>
  <c r="K141" i="24"/>
  <c r="L140" i="24"/>
  <c r="K140" i="24"/>
  <c r="L139" i="24"/>
  <c r="K139" i="24"/>
  <c r="L138" i="24"/>
  <c r="K138" i="24"/>
  <c r="L137" i="24"/>
  <c r="K137" i="24"/>
  <c r="L134" i="24"/>
  <c r="K134" i="24"/>
  <c r="L133" i="24"/>
  <c r="K133" i="24"/>
  <c r="L132" i="24"/>
  <c r="K132" i="24"/>
  <c r="L131" i="24"/>
  <c r="K131" i="24"/>
  <c r="L130" i="24"/>
  <c r="K130" i="24"/>
  <c r="L129" i="24"/>
  <c r="K129" i="24"/>
  <c r="L128" i="24"/>
  <c r="K128" i="24"/>
  <c r="L127" i="24"/>
  <c r="K127" i="24"/>
  <c r="L126" i="24"/>
  <c r="K126" i="24"/>
  <c r="L125" i="24"/>
  <c r="K125" i="24"/>
  <c r="L124" i="24"/>
  <c r="K124" i="24"/>
  <c r="L123" i="24"/>
  <c r="K123" i="24"/>
  <c r="L122" i="24"/>
  <c r="K122" i="24"/>
  <c r="L121" i="24"/>
  <c r="K121" i="24"/>
  <c r="L120" i="24"/>
  <c r="K120" i="24"/>
  <c r="L119" i="24"/>
  <c r="K119" i="24"/>
  <c r="L118" i="24"/>
  <c r="K118" i="24"/>
  <c r="L99" i="24"/>
  <c r="K99" i="24"/>
  <c r="L98" i="24"/>
  <c r="K98" i="24"/>
  <c r="L97" i="24"/>
  <c r="K97" i="24"/>
  <c r="L96" i="24"/>
  <c r="K96" i="24"/>
  <c r="L95" i="24"/>
  <c r="K95" i="24"/>
  <c r="L94" i="24"/>
  <c r="K94" i="24"/>
  <c r="L93" i="24"/>
  <c r="K93" i="24"/>
  <c r="L92" i="24"/>
  <c r="K92" i="24"/>
  <c r="L91" i="24"/>
  <c r="K91" i="24"/>
  <c r="L90" i="24"/>
  <c r="K90" i="24"/>
  <c r="L89" i="24"/>
  <c r="K89" i="24"/>
  <c r="L88" i="24"/>
  <c r="K88" i="24"/>
  <c r="L87" i="24"/>
  <c r="K87" i="24"/>
  <c r="L86" i="24"/>
  <c r="K86" i="24"/>
  <c r="L82" i="24"/>
  <c r="K82" i="24"/>
  <c r="L81" i="24"/>
  <c r="K81" i="24"/>
  <c r="L80" i="24"/>
  <c r="K80" i="24"/>
  <c r="L79" i="24"/>
  <c r="K79" i="24"/>
  <c r="L78" i="24"/>
  <c r="K78" i="24"/>
  <c r="L77" i="24"/>
  <c r="K77" i="24"/>
  <c r="L76" i="24"/>
  <c r="K76" i="24"/>
  <c r="L75" i="24"/>
  <c r="K75" i="24"/>
  <c r="L74" i="24"/>
  <c r="K74" i="24"/>
  <c r="L73" i="24"/>
  <c r="K73" i="24"/>
  <c r="L72" i="24"/>
  <c r="K72" i="24"/>
  <c r="L71" i="24"/>
  <c r="K71" i="24"/>
  <c r="L70" i="24"/>
  <c r="K70" i="24"/>
  <c r="L69" i="24"/>
  <c r="K69" i="24"/>
  <c r="L68" i="24"/>
  <c r="K68" i="24"/>
  <c r="L67" i="24"/>
  <c r="K67" i="24"/>
  <c r="L66" i="24"/>
  <c r="K66" i="24"/>
  <c r="L47" i="24"/>
  <c r="K47" i="24"/>
  <c r="L46" i="24"/>
  <c r="K46" i="24"/>
  <c r="L45" i="24"/>
  <c r="K45" i="24"/>
  <c r="L44" i="24"/>
  <c r="K44" i="24"/>
  <c r="L43" i="24"/>
  <c r="K43" i="24"/>
  <c r="L42" i="24"/>
  <c r="K42" i="24"/>
  <c r="L41" i="24"/>
  <c r="K41" i="24"/>
  <c r="L40" i="24"/>
  <c r="K40" i="24"/>
  <c r="L39" i="24"/>
  <c r="K39" i="24"/>
  <c r="L38" i="24"/>
  <c r="K38" i="24"/>
  <c r="L37" i="24"/>
  <c r="K37" i="24"/>
  <c r="L36" i="24"/>
  <c r="K36" i="24"/>
  <c r="L35" i="24"/>
  <c r="K35" i="24"/>
  <c r="L34" i="24"/>
  <c r="K34" i="24"/>
  <c r="L29" i="24"/>
  <c r="K29" i="24"/>
  <c r="L28" i="24"/>
  <c r="K28" i="24"/>
  <c r="L27" i="24"/>
  <c r="K27" i="24"/>
  <c r="L26" i="24"/>
  <c r="K26" i="24"/>
  <c r="L25" i="24"/>
  <c r="K25" i="24"/>
  <c r="L24" i="24"/>
  <c r="K24" i="24"/>
  <c r="L23" i="24"/>
  <c r="K23" i="24"/>
  <c r="L22" i="24"/>
  <c r="K22" i="24"/>
  <c r="L21" i="24"/>
  <c r="K21" i="24"/>
  <c r="L20" i="24"/>
  <c r="K20" i="24"/>
  <c r="L19" i="24"/>
  <c r="K19" i="24"/>
  <c r="L18" i="24"/>
  <c r="K18" i="24"/>
  <c r="L17" i="24"/>
  <c r="K17" i="24"/>
  <c r="L16" i="24"/>
  <c r="K16" i="24"/>
  <c r="L15" i="24"/>
  <c r="K15" i="24"/>
  <c r="L14" i="24"/>
  <c r="K14" i="24"/>
  <c r="L13" i="24"/>
  <c r="K13" i="24"/>
  <c r="T338" i="24" l="1"/>
  <c r="S339" i="24"/>
  <c r="T339" i="24" s="1"/>
  <c r="G333" i="24"/>
  <c r="G332" i="24"/>
  <c r="G327" i="24"/>
  <c r="G326" i="24"/>
  <c r="G306" i="24"/>
  <c r="G305" i="24"/>
  <c r="G304" i="24"/>
  <c r="G303" i="24"/>
  <c r="G302" i="24"/>
  <c r="G301" i="24"/>
  <c r="G300" i="24"/>
  <c r="G299" i="24"/>
  <c r="G298" i="24"/>
  <c r="G297" i="24"/>
  <c r="G296" i="24"/>
  <c r="G295" i="24"/>
  <c r="G294" i="24"/>
  <c r="G293" i="24"/>
  <c r="G292" i="24"/>
  <c r="G291" i="24"/>
  <c r="G290" i="24"/>
  <c r="G289" i="24"/>
  <c r="G288" i="24"/>
  <c r="G287" i="24"/>
  <c r="G286" i="24"/>
  <c r="G285" i="24"/>
  <c r="G284" i="24"/>
  <c r="G283" i="24"/>
  <c r="G282" i="24"/>
  <c r="G281" i="24"/>
  <c r="G280" i="24"/>
  <c r="G279" i="24"/>
  <c r="G278" i="24"/>
  <c r="G277" i="24"/>
  <c r="G276" i="24"/>
  <c r="G275" i="24"/>
  <c r="G274" i="24"/>
  <c r="G243" i="24"/>
  <c r="G242" i="24"/>
  <c r="G241" i="24"/>
  <c r="G240" i="24"/>
  <c r="G239" i="24"/>
  <c r="G238" i="24"/>
  <c r="G237" i="24"/>
  <c r="G236" i="24"/>
  <c r="G235" i="24"/>
  <c r="G234" i="24"/>
  <c r="G233" i="24"/>
  <c r="G232" i="24"/>
  <c r="G231" i="24"/>
  <c r="G230" i="24"/>
  <c r="G229" i="24"/>
  <c r="G228" i="24"/>
  <c r="G227" i="24"/>
  <c r="G226" i="24"/>
  <c r="G225" i="24"/>
  <c r="G224" i="24"/>
  <c r="G223" i="24"/>
  <c r="G190" i="24"/>
  <c r="G189" i="24"/>
  <c r="G188" i="24"/>
  <c r="G187" i="24"/>
  <c r="G186" i="24"/>
  <c r="G185" i="24"/>
  <c r="G184" i="24"/>
  <c r="G183" i="24"/>
  <c r="G182" i="24"/>
  <c r="G181" i="24"/>
  <c r="G180" i="24"/>
  <c r="G179" i="24"/>
  <c r="G178" i="24"/>
  <c r="G177" i="24"/>
  <c r="G176" i="24"/>
  <c r="G175" i="24"/>
  <c r="G174" i="24"/>
  <c r="G173" i="24"/>
  <c r="G172" i="24"/>
  <c r="G171" i="24"/>
  <c r="G170" i="24"/>
  <c r="G153" i="24"/>
  <c r="G152" i="24"/>
  <c r="G151" i="24"/>
  <c r="G150" i="24"/>
  <c r="G149" i="24"/>
  <c r="G148" i="24"/>
  <c r="G147" i="24"/>
  <c r="G146" i="24"/>
  <c r="G145" i="24"/>
  <c r="G144" i="24"/>
  <c r="G143" i="24"/>
  <c r="G142" i="24"/>
  <c r="G141" i="24"/>
  <c r="G140" i="24"/>
  <c r="G139" i="24"/>
  <c r="G138" i="24"/>
  <c r="G137" i="24"/>
  <c r="G134" i="24"/>
  <c r="G133" i="24"/>
  <c r="G132" i="24"/>
  <c r="G131" i="24"/>
  <c r="G130" i="24"/>
  <c r="G129" i="24"/>
  <c r="G128" i="24"/>
  <c r="G127" i="24"/>
  <c r="G126" i="24"/>
  <c r="G125" i="24"/>
  <c r="G124" i="24"/>
  <c r="G123" i="24"/>
  <c r="G122" i="24"/>
  <c r="G121" i="24"/>
  <c r="G120" i="24"/>
  <c r="G119" i="24"/>
  <c r="G118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E12" i="10" l="1"/>
  <c r="D12" i="10"/>
  <c r="B2" i="24" l="1"/>
  <c r="M332" i="24"/>
  <c r="G335" i="24"/>
  <c r="M326" i="24"/>
  <c r="H318" i="24"/>
  <c r="D318" i="24"/>
  <c r="I313" i="24"/>
  <c r="D313" i="24"/>
  <c r="R312" i="24"/>
  <c r="R364" i="24" s="1"/>
  <c r="M305" i="24"/>
  <c r="N305" i="24" s="1"/>
  <c r="M303" i="24"/>
  <c r="N303" i="24" s="1"/>
  <c r="M301" i="24"/>
  <c r="N301" i="24" s="1"/>
  <c r="M299" i="24"/>
  <c r="N299" i="24" s="1"/>
  <c r="M297" i="24"/>
  <c r="N297" i="24" s="1"/>
  <c r="M296" i="24"/>
  <c r="N296" i="24" s="1"/>
  <c r="M295" i="24"/>
  <c r="M294" i="24"/>
  <c r="N294" i="24" s="1"/>
  <c r="M293" i="24"/>
  <c r="N293" i="24" s="1"/>
  <c r="M292" i="24"/>
  <c r="N292" i="24" s="1"/>
  <c r="M291" i="24"/>
  <c r="N291" i="24" s="1"/>
  <c r="M289" i="24"/>
  <c r="N289" i="24" s="1"/>
  <c r="M288" i="24"/>
  <c r="N288" i="24" s="1"/>
  <c r="M287" i="24"/>
  <c r="M286" i="24"/>
  <c r="N286" i="24" s="1"/>
  <c r="R286" i="24"/>
  <c r="S286" i="24" s="1"/>
  <c r="M285" i="24"/>
  <c r="N285" i="24" s="1"/>
  <c r="M284" i="24"/>
  <c r="N284" i="24" s="1"/>
  <c r="M283" i="24"/>
  <c r="N283" i="24" s="1"/>
  <c r="M281" i="24"/>
  <c r="N281" i="24" s="1"/>
  <c r="M280" i="24"/>
  <c r="N280" i="24" s="1"/>
  <c r="M279" i="24"/>
  <c r="M278" i="24"/>
  <c r="N278" i="24" s="1"/>
  <c r="M277" i="24"/>
  <c r="N277" i="24" s="1"/>
  <c r="M276" i="24"/>
  <c r="N276" i="24" s="1"/>
  <c r="M275" i="24"/>
  <c r="N275" i="24" s="1"/>
  <c r="H266" i="24"/>
  <c r="D266" i="24"/>
  <c r="H265" i="24"/>
  <c r="H264" i="24"/>
  <c r="H263" i="24"/>
  <c r="I261" i="24"/>
  <c r="D261" i="24"/>
  <c r="M243" i="24"/>
  <c r="N243" i="24" s="1"/>
  <c r="I243" i="24"/>
  <c r="I242" i="24"/>
  <c r="M241" i="24"/>
  <c r="N241" i="24" s="1"/>
  <c r="I241" i="24"/>
  <c r="I240" i="24"/>
  <c r="M239" i="24"/>
  <c r="N239" i="24" s="1"/>
  <c r="I239" i="24"/>
  <c r="I238" i="24"/>
  <c r="I237" i="24"/>
  <c r="M236" i="24"/>
  <c r="N236" i="24" s="1"/>
  <c r="I236" i="24"/>
  <c r="M235" i="24"/>
  <c r="N235" i="24" s="1"/>
  <c r="I235" i="24"/>
  <c r="I234" i="24"/>
  <c r="M233" i="24"/>
  <c r="N233" i="24" s="1"/>
  <c r="I233" i="24"/>
  <c r="I232" i="24"/>
  <c r="M231" i="24"/>
  <c r="N231" i="24" s="1"/>
  <c r="I231" i="24"/>
  <c r="M230" i="24"/>
  <c r="N230" i="24" s="1"/>
  <c r="I230" i="24"/>
  <c r="M229" i="24"/>
  <c r="N229" i="24" s="1"/>
  <c r="I229" i="24"/>
  <c r="I228" i="24"/>
  <c r="R227" i="24"/>
  <c r="S227" i="24" s="1"/>
  <c r="T227" i="24" s="1"/>
  <c r="M227" i="24"/>
  <c r="N227" i="24" s="1"/>
  <c r="I227" i="24"/>
  <c r="M226" i="24"/>
  <c r="N226" i="24" s="1"/>
  <c r="I226" i="24"/>
  <c r="M225" i="24"/>
  <c r="N225" i="24" s="1"/>
  <c r="I225" i="24"/>
  <c r="I224" i="24"/>
  <c r="M223" i="24"/>
  <c r="N223" i="24" s="1"/>
  <c r="I223" i="24"/>
  <c r="D214" i="24"/>
  <c r="R208" i="24"/>
  <c r="R260" i="24" s="1"/>
  <c r="M190" i="24"/>
  <c r="N190" i="24" s="1"/>
  <c r="I190" i="24"/>
  <c r="M189" i="24"/>
  <c r="N189" i="24" s="1"/>
  <c r="I189" i="24"/>
  <c r="M188" i="24"/>
  <c r="R188" i="24"/>
  <c r="I188" i="24"/>
  <c r="M187" i="24"/>
  <c r="N187" i="24" s="1"/>
  <c r="I187" i="24"/>
  <c r="I186" i="24"/>
  <c r="N185" i="24"/>
  <c r="M185" i="24"/>
  <c r="I185" i="24"/>
  <c r="M184" i="24"/>
  <c r="N184" i="24" s="1"/>
  <c r="I184" i="24"/>
  <c r="M183" i="24"/>
  <c r="N183" i="24" s="1"/>
  <c r="I183" i="24"/>
  <c r="M182" i="24"/>
  <c r="N182" i="24" s="1"/>
  <c r="I182" i="24"/>
  <c r="M181" i="24"/>
  <c r="N181" i="24" s="1"/>
  <c r="I181" i="24"/>
  <c r="M180" i="24"/>
  <c r="N180" i="24" s="1"/>
  <c r="I180" i="24"/>
  <c r="I179" i="24"/>
  <c r="M178" i="24"/>
  <c r="N178" i="24" s="1"/>
  <c r="I178" i="24"/>
  <c r="M177" i="24"/>
  <c r="N177" i="24" s="1"/>
  <c r="I177" i="24"/>
  <c r="M176" i="24"/>
  <c r="N176" i="24" s="1"/>
  <c r="I176" i="24"/>
  <c r="I175" i="24"/>
  <c r="I174" i="24"/>
  <c r="M173" i="24"/>
  <c r="N173" i="24" s="1"/>
  <c r="I173" i="24"/>
  <c r="M172" i="24"/>
  <c r="N172" i="24" s="1"/>
  <c r="I172" i="24"/>
  <c r="M171" i="24"/>
  <c r="N171" i="24" s="1"/>
  <c r="I171" i="24"/>
  <c r="M170" i="24"/>
  <c r="N170" i="24" s="1"/>
  <c r="I170" i="24"/>
  <c r="D162" i="24"/>
  <c r="I153" i="24"/>
  <c r="M152" i="24"/>
  <c r="R152" i="24"/>
  <c r="S152" i="24" s="1"/>
  <c r="T152" i="24" s="1"/>
  <c r="I152" i="24"/>
  <c r="M151" i="24"/>
  <c r="N151" i="24" s="1"/>
  <c r="I151" i="24"/>
  <c r="M150" i="24"/>
  <c r="N150" i="24" s="1"/>
  <c r="I150" i="24"/>
  <c r="M149" i="24"/>
  <c r="N149" i="24" s="1"/>
  <c r="I149" i="24"/>
  <c r="M148" i="24"/>
  <c r="I148" i="24"/>
  <c r="M147" i="24"/>
  <c r="N147" i="24" s="1"/>
  <c r="I147" i="24"/>
  <c r="M146" i="24"/>
  <c r="N146" i="24" s="1"/>
  <c r="I146" i="24"/>
  <c r="M145" i="24"/>
  <c r="N145" i="24" s="1"/>
  <c r="I145" i="24"/>
  <c r="M144" i="24"/>
  <c r="R144" i="24"/>
  <c r="S144" i="24" s="1"/>
  <c r="I144" i="24"/>
  <c r="M143" i="24"/>
  <c r="N143" i="24" s="1"/>
  <c r="I143" i="24"/>
  <c r="M142" i="24"/>
  <c r="N142" i="24" s="1"/>
  <c r="I142" i="24"/>
  <c r="I141" i="24"/>
  <c r="N140" i="24"/>
  <c r="M140" i="24"/>
  <c r="R140" i="24"/>
  <c r="S140" i="24" s="1"/>
  <c r="T140" i="24" s="1"/>
  <c r="I140" i="24"/>
  <c r="M139" i="24"/>
  <c r="I139" i="24"/>
  <c r="I138" i="24"/>
  <c r="I137" i="24"/>
  <c r="I134" i="24"/>
  <c r="M133" i="24"/>
  <c r="N133" i="24" s="1"/>
  <c r="I133" i="24"/>
  <c r="M132" i="24"/>
  <c r="N132" i="24" s="1"/>
  <c r="I132" i="24"/>
  <c r="M131" i="24"/>
  <c r="N131" i="24" s="1"/>
  <c r="R131" i="24"/>
  <c r="S131" i="24" s="1"/>
  <c r="I131" i="24"/>
  <c r="I130" i="24"/>
  <c r="M129" i="24"/>
  <c r="N129" i="24" s="1"/>
  <c r="I129" i="24"/>
  <c r="M128" i="24"/>
  <c r="N128" i="24" s="1"/>
  <c r="I128" i="24"/>
  <c r="R127" i="24"/>
  <c r="S127" i="24" s="1"/>
  <c r="I127" i="24"/>
  <c r="M126" i="24"/>
  <c r="N126" i="24" s="1"/>
  <c r="I126" i="24"/>
  <c r="N125" i="24"/>
  <c r="M125" i="24"/>
  <c r="R125" i="24"/>
  <c r="S125" i="24" s="1"/>
  <c r="I125" i="24"/>
  <c r="M124" i="24"/>
  <c r="N124" i="24" s="1"/>
  <c r="R124" i="24"/>
  <c r="S124" i="24" s="1"/>
  <c r="I124" i="24"/>
  <c r="I123" i="24"/>
  <c r="R122" i="24"/>
  <c r="S122" i="24" s="1"/>
  <c r="M122" i="24"/>
  <c r="N122" i="24" s="1"/>
  <c r="I122" i="24"/>
  <c r="N121" i="24"/>
  <c r="M121" i="24"/>
  <c r="I121" i="24"/>
  <c r="M120" i="24"/>
  <c r="R120" i="24"/>
  <c r="I120" i="24"/>
  <c r="I119" i="24"/>
  <c r="M118" i="24"/>
  <c r="N118" i="24" s="1"/>
  <c r="I118" i="24"/>
  <c r="H110" i="24"/>
  <c r="D110" i="24"/>
  <c r="H109" i="24"/>
  <c r="H108" i="24"/>
  <c r="H107" i="24"/>
  <c r="I105" i="24"/>
  <c r="D105" i="24"/>
  <c r="P103" i="24"/>
  <c r="I99" i="24"/>
  <c r="I98" i="24"/>
  <c r="M97" i="24"/>
  <c r="N97" i="24" s="1"/>
  <c r="I97" i="24"/>
  <c r="I96" i="24"/>
  <c r="I95" i="24"/>
  <c r="I94" i="24"/>
  <c r="I93" i="24"/>
  <c r="I92" i="24"/>
  <c r="I91" i="24"/>
  <c r="I90" i="24"/>
  <c r="I89" i="24"/>
  <c r="I88" i="24"/>
  <c r="I87" i="24"/>
  <c r="I86" i="24"/>
  <c r="I82" i="24"/>
  <c r="I81" i="24"/>
  <c r="I80" i="24"/>
  <c r="I79" i="24"/>
  <c r="I78" i="24"/>
  <c r="I77" i="24"/>
  <c r="I76" i="24"/>
  <c r="I75" i="24"/>
  <c r="I74" i="24"/>
  <c r="I73" i="24"/>
  <c r="I72" i="24"/>
  <c r="I71" i="24"/>
  <c r="M70" i="24"/>
  <c r="N70" i="24" s="1"/>
  <c r="I70" i="24"/>
  <c r="I69" i="24"/>
  <c r="I68" i="24"/>
  <c r="I67" i="24"/>
  <c r="I66" i="24"/>
  <c r="H58" i="24"/>
  <c r="D58" i="24"/>
  <c r="H57" i="24"/>
  <c r="H56" i="24"/>
  <c r="H55" i="24"/>
  <c r="I53" i="24"/>
  <c r="D53" i="24"/>
  <c r="M47" i="24"/>
  <c r="N47" i="24" s="1"/>
  <c r="M99" i="24"/>
  <c r="N99" i="24" s="1"/>
  <c r="I47" i="24"/>
  <c r="M46" i="24"/>
  <c r="N46" i="24" s="1"/>
  <c r="I46" i="24"/>
  <c r="R97" i="24"/>
  <c r="S97" i="24" s="1"/>
  <c r="T97" i="24" s="1"/>
  <c r="I45" i="24"/>
  <c r="I44" i="24"/>
  <c r="M43" i="24"/>
  <c r="N43" i="24" s="1"/>
  <c r="M95" i="24"/>
  <c r="N95" i="24" s="1"/>
  <c r="I43" i="24"/>
  <c r="M42" i="24"/>
  <c r="I42" i="24"/>
  <c r="I41" i="24"/>
  <c r="M40" i="24"/>
  <c r="N40" i="24" s="1"/>
  <c r="I40" i="24"/>
  <c r="M39" i="24"/>
  <c r="N39" i="24" s="1"/>
  <c r="I39" i="24"/>
  <c r="M38" i="24"/>
  <c r="N38" i="24" s="1"/>
  <c r="I38" i="24"/>
  <c r="I37" i="24"/>
  <c r="I36" i="24"/>
  <c r="M35" i="24"/>
  <c r="N35" i="24" s="1"/>
  <c r="I35" i="24"/>
  <c r="M34" i="24"/>
  <c r="I34" i="24"/>
  <c r="I29" i="24"/>
  <c r="M28" i="24"/>
  <c r="N28" i="24" s="1"/>
  <c r="I28" i="24"/>
  <c r="M27" i="24"/>
  <c r="N27" i="24" s="1"/>
  <c r="I27" i="24"/>
  <c r="I26" i="24"/>
  <c r="M25" i="24"/>
  <c r="N25" i="24" s="1"/>
  <c r="I25" i="24"/>
  <c r="M24" i="24"/>
  <c r="N24" i="24" s="1"/>
  <c r="I23" i="24"/>
  <c r="I22" i="24"/>
  <c r="I21" i="24"/>
  <c r="M20" i="24"/>
  <c r="N20" i="24" s="1"/>
  <c r="R20" i="24"/>
  <c r="S20" i="24" s="1"/>
  <c r="T20" i="24" s="1"/>
  <c r="I20" i="24"/>
  <c r="I19" i="24"/>
  <c r="M18" i="24"/>
  <c r="N18" i="24" s="1"/>
  <c r="I18" i="24"/>
  <c r="M17" i="24"/>
  <c r="N17" i="24" s="1"/>
  <c r="I17" i="24"/>
  <c r="I16" i="24"/>
  <c r="I15" i="24"/>
  <c r="M14" i="24"/>
  <c r="N14" i="24" s="1"/>
  <c r="I14" i="24"/>
  <c r="M13" i="24"/>
  <c r="N13" i="24" s="1"/>
  <c r="G246" i="24"/>
  <c r="T286" i="24" l="1"/>
  <c r="T125" i="24"/>
  <c r="T124" i="24"/>
  <c r="T131" i="24"/>
  <c r="R333" i="24"/>
  <c r="S333" i="24" s="1"/>
  <c r="R278" i="24"/>
  <c r="S278" i="24" s="1"/>
  <c r="T278" i="24" s="1"/>
  <c r="R300" i="24"/>
  <c r="S300" i="24" s="1"/>
  <c r="R304" i="24"/>
  <c r="S304" i="24" s="1"/>
  <c r="R229" i="24"/>
  <c r="S229" i="24" s="1"/>
  <c r="T229" i="24" s="1"/>
  <c r="R241" i="24"/>
  <c r="S241" i="24" s="1"/>
  <c r="T241" i="24" s="1"/>
  <c r="R225" i="24"/>
  <c r="S225" i="24" s="1"/>
  <c r="T225" i="24" s="1"/>
  <c r="R237" i="24"/>
  <c r="S237" i="24" s="1"/>
  <c r="T237" i="24" s="1"/>
  <c r="R170" i="24"/>
  <c r="S170" i="24" s="1"/>
  <c r="T170" i="24" s="1"/>
  <c r="R184" i="24"/>
  <c r="S184" i="24" s="1"/>
  <c r="T184" i="24" s="1"/>
  <c r="R148" i="24"/>
  <c r="S148" i="24" s="1"/>
  <c r="T122" i="24"/>
  <c r="R27" i="24"/>
  <c r="S27" i="24" s="1"/>
  <c r="T27" i="24" s="1"/>
  <c r="R332" i="24"/>
  <c r="S332" i="24" s="1"/>
  <c r="R294" i="24"/>
  <c r="S294" i="24" s="1"/>
  <c r="T294" i="24" s="1"/>
  <c r="R240" i="24"/>
  <c r="S240" i="24" s="1"/>
  <c r="T240" i="24" s="1"/>
  <c r="R233" i="24"/>
  <c r="S233" i="24" s="1"/>
  <c r="T233" i="24" s="1"/>
  <c r="R243" i="24"/>
  <c r="S243" i="24" s="1"/>
  <c r="T243" i="24" s="1"/>
  <c r="R177" i="24"/>
  <c r="S177" i="24" s="1"/>
  <c r="T177" i="24" s="1"/>
  <c r="R180" i="24"/>
  <c r="S180" i="24" s="1"/>
  <c r="T180" i="24" s="1"/>
  <c r="R172" i="24"/>
  <c r="S172" i="24" s="1"/>
  <c r="T172" i="24" s="1"/>
  <c r="R176" i="24"/>
  <c r="S176" i="24" s="1"/>
  <c r="T176" i="24" s="1"/>
  <c r="R76" i="24"/>
  <c r="S76" i="24" s="1"/>
  <c r="T76" i="24" s="1"/>
  <c r="M89" i="24"/>
  <c r="N89" i="24" s="1"/>
  <c r="M86" i="24"/>
  <c r="N86" i="24" s="1"/>
  <c r="R89" i="24"/>
  <c r="S89" i="24" s="1"/>
  <c r="T89" i="24" s="1"/>
  <c r="M91" i="24"/>
  <c r="N91" i="24" s="1"/>
  <c r="R78" i="24"/>
  <c r="S78" i="24" s="1"/>
  <c r="T78" i="24" s="1"/>
  <c r="M67" i="24"/>
  <c r="N67" i="24" s="1"/>
  <c r="M69" i="24"/>
  <c r="N69" i="24" s="1"/>
  <c r="M72" i="24"/>
  <c r="N72" i="24" s="1"/>
  <c r="M77" i="24"/>
  <c r="N77" i="24" s="1"/>
  <c r="M81" i="24"/>
  <c r="N81" i="24" s="1"/>
  <c r="R82" i="24"/>
  <c r="S82" i="24" s="1"/>
  <c r="T82" i="24" s="1"/>
  <c r="R70" i="24"/>
  <c r="S70" i="24" s="1"/>
  <c r="T70" i="24" s="1"/>
  <c r="R93" i="24"/>
  <c r="S93" i="24" s="1"/>
  <c r="T93" i="24" s="1"/>
  <c r="R175" i="24"/>
  <c r="S175" i="24" s="1"/>
  <c r="M175" i="24"/>
  <c r="N175" i="24" s="1"/>
  <c r="I13" i="24"/>
  <c r="M16" i="24"/>
  <c r="N16" i="24" s="1"/>
  <c r="M71" i="24"/>
  <c r="N71" i="24" s="1"/>
  <c r="R74" i="24"/>
  <c r="S74" i="24" s="1"/>
  <c r="T74" i="24" s="1"/>
  <c r="R21" i="24"/>
  <c r="S21" i="24" s="1"/>
  <c r="T21" i="24" s="1"/>
  <c r="M75" i="24"/>
  <c r="N75" i="24" s="1"/>
  <c r="M22" i="24"/>
  <c r="N22" i="24" s="1"/>
  <c r="M23" i="24"/>
  <c r="N23" i="24" s="1"/>
  <c r="I24" i="24"/>
  <c r="M88" i="24"/>
  <c r="N88" i="24" s="1"/>
  <c r="M36" i="24"/>
  <c r="N36" i="24" s="1"/>
  <c r="M96" i="24"/>
  <c r="N96" i="24" s="1"/>
  <c r="M44" i="24"/>
  <c r="N44" i="24" s="1"/>
  <c r="M78" i="24"/>
  <c r="N78" i="24" s="1"/>
  <c r="R119" i="24"/>
  <c r="S119" i="24" s="1"/>
  <c r="R128" i="24"/>
  <c r="S128" i="24" s="1"/>
  <c r="T128" i="24" s="1"/>
  <c r="R130" i="24"/>
  <c r="S130" i="24" s="1"/>
  <c r="M130" i="24"/>
  <c r="N130" i="24" s="1"/>
  <c r="M242" i="24"/>
  <c r="N242" i="24" s="1"/>
  <c r="R242" i="24"/>
  <c r="S242" i="24" s="1"/>
  <c r="T242" i="24" s="1"/>
  <c r="S120" i="24"/>
  <c r="M66" i="24"/>
  <c r="N66" i="24" s="1"/>
  <c r="M15" i="24"/>
  <c r="N15" i="24" s="1"/>
  <c r="M19" i="24"/>
  <c r="N19" i="24" s="1"/>
  <c r="M74" i="24"/>
  <c r="N74" i="24" s="1"/>
  <c r="M21" i="24"/>
  <c r="N21" i="24" s="1"/>
  <c r="R23" i="24"/>
  <c r="S23" i="24" s="1"/>
  <c r="T23" i="24" s="1"/>
  <c r="M79" i="24"/>
  <c r="N79" i="24" s="1"/>
  <c r="N34" i="24"/>
  <c r="R35" i="24"/>
  <c r="S35" i="24" s="1"/>
  <c r="T35" i="24" s="1"/>
  <c r="R37" i="24"/>
  <c r="S37" i="24" s="1"/>
  <c r="T37" i="24" s="1"/>
  <c r="M90" i="24"/>
  <c r="N90" i="24" s="1"/>
  <c r="R41" i="24"/>
  <c r="S41" i="24" s="1"/>
  <c r="T41" i="24" s="1"/>
  <c r="N42" i="24"/>
  <c r="R45" i="24"/>
  <c r="S45" i="24" s="1"/>
  <c r="T45" i="24" s="1"/>
  <c r="M98" i="24"/>
  <c r="N98" i="24" s="1"/>
  <c r="M76" i="24"/>
  <c r="N76" i="24" s="1"/>
  <c r="R118" i="24"/>
  <c r="S118" i="24" s="1"/>
  <c r="R126" i="24"/>
  <c r="S126" i="24" s="1"/>
  <c r="T126" i="24" s="1"/>
  <c r="R139" i="24"/>
  <c r="S139" i="24" s="1"/>
  <c r="M68" i="24"/>
  <c r="N68" i="24" s="1"/>
  <c r="R17" i="24"/>
  <c r="S17" i="24" s="1"/>
  <c r="T17" i="24" s="1"/>
  <c r="R75" i="24"/>
  <c r="S75" i="24" s="1"/>
  <c r="T75" i="24" s="1"/>
  <c r="R22" i="24"/>
  <c r="S22" i="24" s="1"/>
  <c r="T22" i="24" s="1"/>
  <c r="M29" i="24"/>
  <c r="N29" i="24" s="1"/>
  <c r="M82" i="24"/>
  <c r="N82" i="24" s="1"/>
  <c r="R88" i="24"/>
  <c r="S88" i="24" s="1"/>
  <c r="T88" i="24" s="1"/>
  <c r="R42" i="24"/>
  <c r="S42" i="24" s="1"/>
  <c r="T42" i="24" s="1"/>
  <c r="R96" i="24"/>
  <c r="S96" i="24" s="1"/>
  <c r="T96" i="24" s="1"/>
  <c r="M92" i="24"/>
  <c r="N92" i="24" s="1"/>
  <c r="N120" i="24"/>
  <c r="R121" i="24"/>
  <c r="S121" i="24" s="1"/>
  <c r="T121" i="24" s="1"/>
  <c r="R123" i="24"/>
  <c r="S123" i="24" s="1"/>
  <c r="R134" i="24"/>
  <c r="S134" i="24" s="1"/>
  <c r="M134" i="24"/>
  <c r="M137" i="24"/>
  <c r="N137" i="24" s="1"/>
  <c r="R137" i="24"/>
  <c r="S137" i="24" s="1"/>
  <c r="R138" i="24"/>
  <c r="S138" i="24" s="1"/>
  <c r="T138" i="24" s="1"/>
  <c r="M141" i="24"/>
  <c r="N141" i="24" s="1"/>
  <c r="R141" i="24"/>
  <c r="S141" i="24" s="1"/>
  <c r="T141" i="24" s="1"/>
  <c r="M186" i="24"/>
  <c r="N186" i="24" s="1"/>
  <c r="R186" i="24"/>
  <c r="S186" i="24" s="1"/>
  <c r="R25" i="24"/>
  <c r="S25" i="24" s="1"/>
  <c r="T25" i="24" s="1"/>
  <c r="M26" i="24"/>
  <c r="N26" i="24" s="1"/>
  <c r="R29" i="24"/>
  <c r="S29" i="24" s="1"/>
  <c r="T29" i="24" s="1"/>
  <c r="R36" i="24"/>
  <c r="S36" i="24" s="1"/>
  <c r="T36" i="24" s="1"/>
  <c r="M37" i="24"/>
  <c r="N37" i="24" s="1"/>
  <c r="M41" i="24"/>
  <c r="N41" i="24" s="1"/>
  <c r="R44" i="24"/>
  <c r="S44" i="24" s="1"/>
  <c r="T44" i="24" s="1"/>
  <c r="M45" i="24"/>
  <c r="N45" i="24" s="1"/>
  <c r="R73" i="24"/>
  <c r="S73" i="24" s="1"/>
  <c r="T73" i="24" s="1"/>
  <c r="M94" i="24"/>
  <c r="N94" i="24" s="1"/>
  <c r="M119" i="24"/>
  <c r="N119" i="24" s="1"/>
  <c r="M123" i="24"/>
  <c r="N123" i="24" s="1"/>
  <c r="M127" i="24"/>
  <c r="N127" i="24" s="1"/>
  <c r="T127" i="24" s="1"/>
  <c r="R132" i="24"/>
  <c r="S132" i="24" s="1"/>
  <c r="T132" i="24" s="1"/>
  <c r="R142" i="24"/>
  <c r="S142" i="24" s="1"/>
  <c r="T142" i="24" s="1"/>
  <c r="R146" i="24"/>
  <c r="S146" i="24" s="1"/>
  <c r="T146" i="24" s="1"/>
  <c r="R150" i="24"/>
  <c r="S150" i="24" s="1"/>
  <c r="T150" i="24" s="1"/>
  <c r="S188" i="24"/>
  <c r="R80" i="24"/>
  <c r="S80" i="24" s="1"/>
  <c r="T80" i="24" s="1"/>
  <c r="M93" i="24"/>
  <c r="N93" i="24" s="1"/>
  <c r="R94" i="24"/>
  <c r="S94" i="24" s="1"/>
  <c r="T94" i="24" s="1"/>
  <c r="R143" i="24"/>
  <c r="S143" i="24" s="1"/>
  <c r="T143" i="24" s="1"/>
  <c r="N144" i="24"/>
  <c r="T144" i="24" s="1"/>
  <c r="R147" i="24"/>
  <c r="S147" i="24" s="1"/>
  <c r="T147" i="24" s="1"/>
  <c r="N148" i="24"/>
  <c r="R151" i="24"/>
  <c r="S151" i="24" s="1"/>
  <c r="T151" i="24" s="1"/>
  <c r="N152" i="24"/>
  <c r="R153" i="24"/>
  <c r="S153" i="24" s="1"/>
  <c r="T153" i="24" s="1"/>
  <c r="R171" i="24"/>
  <c r="S171" i="24" s="1"/>
  <c r="T171" i="24" s="1"/>
  <c r="R129" i="24"/>
  <c r="S129" i="24" s="1"/>
  <c r="T129" i="24" s="1"/>
  <c r="R133" i="24"/>
  <c r="S133" i="24" s="1"/>
  <c r="T133" i="24" s="1"/>
  <c r="M138" i="24"/>
  <c r="N138" i="24" s="1"/>
  <c r="N139" i="24"/>
  <c r="M179" i="24"/>
  <c r="N179" i="24" s="1"/>
  <c r="R179" i="24"/>
  <c r="S179" i="24" s="1"/>
  <c r="R232" i="24"/>
  <c r="S232" i="24" s="1"/>
  <c r="R145" i="24"/>
  <c r="S145" i="24" s="1"/>
  <c r="T145" i="24" s="1"/>
  <c r="R149" i="24"/>
  <c r="S149" i="24" s="1"/>
  <c r="T149" i="24" s="1"/>
  <c r="R173" i="24"/>
  <c r="S173" i="24" s="1"/>
  <c r="T173" i="24" s="1"/>
  <c r="R182" i="24"/>
  <c r="S182" i="24" s="1"/>
  <c r="T182" i="24" s="1"/>
  <c r="R231" i="24"/>
  <c r="S231" i="24" s="1"/>
  <c r="T231" i="24" s="1"/>
  <c r="M274" i="24"/>
  <c r="N274" i="24" s="1"/>
  <c r="R274" i="24"/>
  <c r="S274" i="24" s="1"/>
  <c r="N279" i="24"/>
  <c r="R174" i="24"/>
  <c r="S174" i="24" s="1"/>
  <c r="R183" i="24"/>
  <c r="S183" i="24" s="1"/>
  <c r="T183" i="24" s="1"/>
  <c r="R224" i="24"/>
  <c r="S224" i="24" s="1"/>
  <c r="T224" i="24" s="1"/>
  <c r="R234" i="24"/>
  <c r="S234" i="24" s="1"/>
  <c r="M234" i="24"/>
  <c r="N234" i="24" s="1"/>
  <c r="R235" i="24"/>
  <c r="S235" i="24" s="1"/>
  <c r="T235" i="24" s="1"/>
  <c r="R238" i="24"/>
  <c r="S238" i="24" s="1"/>
  <c r="T238" i="24" s="1"/>
  <c r="M238" i="24"/>
  <c r="N238" i="24" s="1"/>
  <c r="R239" i="24"/>
  <c r="S239" i="24" s="1"/>
  <c r="T239" i="24" s="1"/>
  <c r="M282" i="24"/>
  <c r="N282" i="24" s="1"/>
  <c r="R282" i="24"/>
  <c r="S282" i="24" s="1"/>
  <c r="T282" i="24" s="1"/>
  <c r="N287" i="24"/>
  <c r="M174" i="24"/>
  <c r="N174" i="24" s="1"/>
  <c r="R178" i="24"/>
  <c r="S178" i="24" s="1"/>
  <c r="T178" i="24" s="1"/>
  <c r="R187" i="24"/>
  <c r="S187" i="24" s="1"/>
  <c r="T187" i="24" s="1"/>
  <c r="N188" i="24"/>
  <c r="R190" i="24"/>
  <c r="S190" i="24" s="1"/>
  <c r="T190" i="24" s="1"/>
  <c r="R223" i="24"/>
  <c r="S223" i="24" s="1"/>
  <c r="R228" i="24"/>
  <c r="S228" i="24" s="1"/>
  <c r="T228" i="24" s="1"/>
  <c r="M290" i="24"/>
  <c r="N290" i="24" s="1"/>
  <c r="N295" i="24"/>
  <c r="R181" i="24"/>
  <c r="S181" i="24" s="1"/>
  <c r="T181" i="24" s="1"/>
  <c r="R185" i="24"/>
  <c r="S185" i="24" s="1"/>
  <c r="T185" i="24" s="1"/>
  <c r="R189" i="24"/>
  <c r="S189" i="24" s="1"/>
  <c r="T189" i="24" s="1"/>
  <c r="M224" i="24"/>
  <c r="N224" i="24" s="1"/>
  <c r="R226" i="24"/>
  <c r="S226" i="24" s="1"/>
  <c r="T226" i="24" s="1"/>
  <c r="M228" i="24"/>
  <c r="N228" i="24" s="1"/>
  <c r="R230" i="24"/>
  <c r="S230" i="24" s="1"/>
  <c r="T230" i="24" s="1"/>
  <c r="M232" i="24"/>
  <c r="N232" i="24" s="1"/>
  <c r="R236" i="24"/>
  <c r="S236" i="24" s="1"/>
  <c r="T236" i="24" s="1"/>
  <c r="R276" i="24"/>
  <c r="S276" i="24" s="1"/>
  <c r="T276" i="24" s="1"/>
  <c r="R280" i="24"/>
  <c r="S280" i="24" s="1"/>
  <c r="T280" i="24" s="1"/>
  <c r="R284" i="24"/>
  <c r="S284" i="24" s="1"/>
  <c r="T284" i="24" s="1"/>
  <c r="R288" i="24"/>
  <c r="S288" i="24" s="1"/>
  <c r="T288" i="24" s="1"/>
  <c r="R292" i="24"/>
  <c r="S292" i="24" s="1"/>
  <c r="T292" i="24" s="1"/>
  <c r="R296" i="24"/>
  <c r="S296" i="24" s="1"/>
  <c r="T296" i="24" s="1"/>
  <c r="G328" i="24"/>
  <c r="M237" i="24"/>
  <c r="N237" i="24" s="1"/>
  <c r="M240" i="24"/>
  <c r="N240" i="24" s="1"/>
  <c r="R290" i="24"/>
  <c r="S290" i="24" s="1"/>
  <c r="R298" i="24"/>
  <c r="S298" i="24" s="1"/>
  <c r="R302" i="24"/>
  <c r="S302" i="24" s="1"/>
  <c r="R306" i="24"/>
  <c r="S306" i="24" s="1"/>
  <c r="R326" i="24"/>
  <c r="S326" i="24" s="1"/>
  <c r="R327" i="24"/>
  <c r="S327" i="24" s="1"/>
  <c r="R275" i="24"/>
  <c r="S275" i="24" s="1"/>
  <c r="T275" i="24" s="1"/>
  <c r="R277" i="24"/>
  <c r="S277" i="24" s="1"/>
  <c r="T277" i="24" s="1"/>
  <c r="R279" i="24"/>
  <c r="S279" i="24" s="1"/>
  <c r="R281" i="24"/>
  <c r="S281" i="24" s="1"/>
  <c r="T281" i="24" s="1"/>
  <c r="R283" i="24"/>
  <c r="S283" i="24" s="1"/>
  <c r="T283" i="24" s="1"/>
  <c r="R285" i="24"/>
  <c r="S285" i="24" s="1"/>
  <c r="T285" i="24" s="1"/>
  <c r="R287" i="24"/>
  <c r="S287" i="24" s="1"/>
  <c r="R289" i="24"/>
  <c r="S289" i="24" s="1"/>
  <c r="T289" i="24" s="1"/>
  <c r="R291" i="24"/>
  <c r="S291" i="24" s="1"/>
  <c r="T291" i="24" s="1"/>
  <c r="R293" i="24"/>
  <c r="S293" i="24" s="1"/>
  <c r="T293" i="24" s="1"/>
  <c r="R295" i="24"/>
  <c r="S295" i="24" s="1"/>
  <c r="R297" i="24"/>
  <c r="S297" i="24" s="1"/>
  <c r="T297" i="24" s="1"/>
  <c r="M298" i="24"/>
  <c r="N298" i="24" s="1"/>
  <c r="R299" i="24"/>
  <c r="S299" i="24" s="1"/>
  <c r="T299" i="24" s="1"/>
  <c r="M300" i="24"/>
  <c r="N300" i="24" s="1"/>
  <c r="R301" i="24"/>
  <c r="S301" i="24" s="1"/>
  <c r="T301" i="24" s="1"/>
  <c r="M302" i="24"/>
  <c r="N302" i="24" s="1"/>
  <c r="R303" i="24"/>
  <c r="S303" i="24" s="1"/>
  <c r="T303" i="24" s="1"/>
  <c r="M304" i="24"/>
  <c r="N304" i="24" s="1"/>
  <c r="R305" i="24"/>
  <c r="S305" i="24" s="1"/>
  <c r="T305" i="24" s="1"/>
  <c r="M306" i="24"/>
  <c r="N306" i="24" s="1"/>
  <c r="N326" i="24"/>
  <c r="N332" i="24"/>
  <c r="M327" i="24"/>
  <c r="N327" i="24" s="1"/>
  <c r="M333" i="24"/>
  <c r="N333" i="24" s="1"/>
  <c r="T274" i="24" l="1"/>
  <c r="T295" i="24"/>
  <c r="T186" i="24"/>
  <c r="T304" i="24"/>
  <c r="T300" i="24"/>
  <c r="T333" i="24"/>
  <c r="S335" i="24"/>
  <c r="T332" i="24"/>
  <c r="T287" i="24"/>
  <c r="T290" i="24"/>
  <c r="T179" i="24"/>
  <c r="T306" i="24"/>
  <c r="T279" i="24"/>
  <c r="T234" i="24"/>
  <c r="T175" i="24"/>
  <c r="T148" i="24"/>
  <c r="T130" i="24"/>
  <c r="N328" i="24"/>
  <c r="N244" i="24"/>
  <c r="N191" i="24"/>
  <c r="M80" i="24"/>
  <c r="N80" i="24" s="1"/>
  <c r="N30" i="24"/>
  <c r="R81" i="24"/>
  <c r="S81" i="24" s="1"/>
  <c r="T81" i="24" s="1"/>
  <c r="R28" i="24"/>
  <c r="S28" i="24" s="1"/>
  <c r="T28" i="24" s="1"/>
  <c r="T302" i="24"/>
  <c r="T174" i="24"/>
  <c r="R79" i="24"/>
  <c r="S79" i="24" s="1"/>
  <c r="T79" i="24" s="1"/>
  <c r="R26" i="24"/>
  <c r="S26" i="24" s="1"/>
  <c r="T26" i="24" s="1"/>
  <c r="R90" i="24"/>
  <c r="S90" i="24" s="1"/>
  <c r="T90" i="24" s="1"/>
  <c r="R38" i="24"/>
  <c r="S38" i="24" s="1"/>
  <c r="T38" i="24" s="1"/>
  <c r="T188" i="24"/>
  <c r="R95" i="24"/>
  <c r="S95" i="24" s="1"/>
  <c r="T95" i="24" s="1"/>
  <c r="R43" i="24"/>
  <c r="S43" i="24" s="1"/>
  <c r="T43" i="24" s="1"/>
  <c r="S154" i="24"/>
  <c r="T137" i="24"/>
  <c r="S135" i="24"/>
  <c r="T118" i="24"/>
  <c r="R72" i="24"/>
  <c r="S72" i="24" s="1"/>
  <c r="T72" i="24" s="1"/>
  <c r="R19" i="24"/>
  <c r="S19" i="24" s="1"/>
  <c r="T19" i="24" s="1"/>
  <c r="R71" i="24"/>
  <c r="S71" i="24" s="1"/>
  <c r="T71" i="24" s="1"/>
  <c r="R18" i="24"/>
  <c r="S18" i="24" s="1"/>
  <c r="T18" i="24" s="1"/>
  <c r="R68" i="24"/>
  <c r="S68" i="24" s="1"/>
  <c r="T68" i="24" s="1"/>
  <c r="R15" i="24"/>
  <c r="S15" i="24" s="1"/>
  <c r="T15" i="24" s="1"/>
  <c r="T327" i="24"/>
  <c r="T298" i="24"/>
  <c r="S244" i="24"/>
  <c r="T223" i="24"/>
  <c r="R86" i="24"/>
  <c r="S86" i="24" s="1"/>
  <c r="R34" i="24"/>
  <c r="S34" i="24" s="1"/>
  <c r="R47" i="24"/>
  <c r="S47" i="24" s="1"/>
  <c r="T47" i="24" s="1"/>
  <c r="R99" i="24"/>
  <c r="S99" i="24" s="1"/>
  <c r="T99" i="24" s="1"/>
  <c r="T123" i="24"/>
  <c r="M73" i="24"/>
  <c r="N73" i="24" s="1"/>
  <c r="T139" i="24"/>
  <c r="R87" i="24"/>
  <c r="S87" i="24" s="1"/>
  <c r="T87" i="24" s="1"/>
  <c r="T119" i="24"/>
  <c r="I246" i="24"/>
  <c r="R39" i="24"/>
  <c r="S39" i="24" s="1"/>
  <c r="T39" i="24" s="1"/>
  <c r="R91" i="24"/>
  <c r="S91" i="24" s="1"/>
  <c r="T91" i="24" s="1"/>
  <c r="R66" i="24"/>
  <c r="S66" i="24" s="1"/>
  <c r="R13" i="24"/>
  <c r="S13" i="24" s="1"/>
  <c r="N335" i="24"/>
  <c r="S328" i="24"/>
  <c r="T326" i="24"/>
  <c r="T232" i="24"/>
  <c r="S191" i="24"/>
  <c r="R98" i="24"/>
  <c r="S98" i="24" s="1"/>
  <c r="T98" i="24" s="1"/>
  <c r="R46" i="24"/>
  <c r="S46" i="24" s="1"/>
  <c r="T46" i="24" s="1"/>
  <c r="R24" i="24"/>
  <c r="S24" i="24" s="1"/>
  <c r="T24" i="24" s="1"/>
  <c r="R77" i="24"/>
  <c r="S77" i="24" s="1"/>
  <c r="T77" i="24" s="1"/>
  <c r="M153" i="24"/>
  <c r="N153" i="24" s="1"/>
  <c r="N154" i="24" s="1"/>
  <c r="N134" i="24"/>
  <c r="T134" i="24" s="1"/>
  <c r="R69" i="24"/>
  <c r="S69" i="24" s="1"/>
  <c r="T69" i="24" s="1"/>
  <c r="R16" i="24"/>
  <c r="S16" i="24" s="1"/>
  <c r="T16" i="24" s="1"/>
  <c r="N48" i="24"/>
  <c r="T120" i="24"/>
  <c r="M87" i="24"/>
  <c r="N87" i="24" s="1"/>
  <c r="N100" i="24" s="1"/>
  <c r="R40" i="24"/>
  <c r="S40" i="24" s="1"/>
  <c r="T40" i="24" s="1"/>
  <c r="R92" i="24"/>
  <c r="S92" i="24" s="1"/>
  <c r="T92" i="24" s="1"/>
  <c r="T191" i="24" l="1"/>
  <c r="T335" i="24"/>
  <c r="T328" i="24"/>
  <c r="N83" i="24"/>
  <c r="T154" i="24"/>
  <c r="T66" i="24"/>
  <c r="S48" i="24"/>
  <c r="T48" i="24" s="1"/>
  <c r="T34" i="24"/>
  <c r="N135" i="24"/>
  <c r="T135" i="24" s="1"/>
  <c r="T13" i="24"/>
  <c r="T86" i="24"/>
  <c r="S100" i="24"/>
  <c r="T100" i="24" s="1"/>
  <c r="N246" i="24" l="1"/>
  <c r="N341" i="24" s="1"/>
  <c r="G27" i="13" l="1"/>
  <c r="I217" i="5" l="1"/>
  <c r="H31" i="4"/>
  <c r="H22" i="4"/>
  <c r="O88" i="11" l="1"/>
  <c r="O81" i="11"/>
  <c r="O26" i="11"/>
  <c r="O88" i="6"/>
  <c r="O81" i="6"/>
  <c r="O26" i="6"/>
  <c r="E181" i="5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E213" i="5" s="1"/>
  <c r="E214" i="5" s="1"/>
  <c r="E215" i="5" s="1"/>
  <c r="E216" i="5" s="1"/>
  <c r="E217" i="5" s="1"/>
  <c r="E180" i="5"/>
  <c r="P216" i="5"/>
  <c r="P215" i="5"/>
  <c r="P214" i="5"/>
  <c r="P199" i="5"/>
  <c r="P200" i="5"/>
  <c r="P201" i="5"/>
  <c r="E18" i="5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E54" i="5" s="1"/>
  <c r="E55" i="5" s="1"/>
  <c r="P36" i="5"/>
  <c r="P37" i="5"/>
  <c r="P38" i="5"/>
  <c r="P51" i="5"/>
  <c r="P50" i="5"/>
  <c r="P49" i="5"/>
  <c r="P48" i="5"/>
  <c r="P47" i="5"/>
  <c r="P46" i="5"/>
  <c r="P45" i="5"/>
  <c r="P44" i="5"/>
  <c r="P43" i="5"/>
  <c r="L81" i="6" l="1"/>
  <c r="I52" i="5"/>
  <c r="P52" i="5"/>
  <c r="O29" i="4"/>
  <c r="O20" i="7"/>
  <c r="O18" i="7"/>
  <c r="O134" i="11"/>
  <c r="O133" i="11"/>
  <c r="O129" i="11"/>
  <c r="O128" i="11"/>
  <c r="O108" i="11"/>
  <c r="O107" i="11"/>
  <c r="O103" i="11"/>
  <c r="O102" i="11"/>
  <c r="O101" i="11"/>
  <c r="O100" i="11"/>
  <c r="O99" i="11"/>
  <c r="O98" i="11"/>
  <c r="O94" i="11"/>
  <c r="O93" i="11"/>
  <c r="O92" i="11"/>
  <c r="O87" i="11"/>
  <c r="O86" i="11"/>
  <c r="O85" i="11"/>
  <c r="O80" i="11"/>
  <c r="O79" i="11"/>
  <c r="O78" i="11"/>
  <c r="O74" i="11"/>
  <c r="O73" i="11"/>
  <c r="O46" i="11"/>
  <c r="O45" i="11"/>
  <c r="O42" i="11"/>
  <c r="O41" i="11"/>
  <c r="O37" i="11"/>
  <c r="O36" i="11"/>
  <c r="O32" i="11"/>
  <c r="O31" i="11"/>
  <c r="O30" i="11"/>
  <c r="O25" i="11"/>
  <c r="O24" i="11"/>
  <c r="O23" i="11"/>
  <c r="O19" i="11"/>
  <c r="O18" i="11"/>
  <c r="O134" i="6"/>
  <c r="O133" i="6"/>
  <c r="O129" i="6"/>
  <c r="O128" i="6"/>
  <c r="O108" i="6"/>
  <c r="O107" i="6"/>
  <c r="O103" i="6"/>
  <c r="O102" i="6"/>
  <c r="O101" i="6"/>
  <c r="O100" i="6"/>
  <c r="O99" i="6"/>
  <c r="O98" i="6"/>
  <c r="O94" i="6"/>
  <c r="O93" i="6"/>
  <c r="O92" i="6"/>
  <c r="O87" i="6"/>
  <c r="O86" i="6"/>
  <c r="O85" i="6"/>
  <c r="O80" i="6"/>
  <c r="O79" i="6"/>
  <c r="O78" i="6"/>
  <c r="O74" i="6"/>
  <c r="O73" i="6"/>
  <c r="O46" i="6"/>
  <c r="O45" i="6"/>
  <c r="O42" i="6"/>
  <c r="O41" i="6"/>
  <c r="O37" i="6"/>
  <c r="O36" i="6"/>
  <c r="O32" i="6"/>
  <c r="O31" i="6"/>
  <c r="O30" i="6"/>
  <c r="O25" i="6"/>
  <c r="O24" i="6"/>
  <c r="O23" i="6"/>
  <c r="O19" i="6"/>
  <c r="O18" i="6"/>
  <c r="O89" i="11" l="1"/>
  <c r="O27" i="6"/>
  <c r="O89" i="6"/>
  <c r="O82" i="11"/>
  <c r="O27" i="11"/>
  <c r="O82" i="6"/>
  <c r="I202" i="5"/>
  <c r="I40" i="5"/>
  <c r="P344" i="5"/>
  <c r="P349" i="5"/>
  <c r="P348" i="5"/>
  <c r="P347" i="5"/>
  <c r="P346" i="5"/>
  <c r="P345" i="5"/>
  <c r="I317" i="5"/>
  <c r="I296" i="5"/>
  <c r="P290" i="5"/>
  <c r="P316" i="5"/>
  <c r="P315" i="5"/>
  <c r="P314" i="5"/>
  <c r="P313" i="5"/>
  <c r="P310" i="5"/>
  <c r="P309" i="5"/>
  <c r="P308" i="5"/>
  <c r="P307" i="5"/>
  <c r="P303" i="5"/>
  <c r="P302" i="5"/>
  <c r="P301" i="5"/>
  <c r="P300" i="5"/>
  <c r="P299" i="5"/>
  <c r="P298" i="5"/>
  <c r="P295" i="5"/>
  <c r="P294" i="5"/>
  <c r="P293" i="5"/>
  <c r="P292" i="5"/>
  <c r="P291" i="5"/>
  <c r="I264" i="5"/>
  <c r="P236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7" i="5"/>
  <c r="P246" i="5"/>
  <c r="P244" i="5"/>
  <c r="P243" i="5"/>
  <c r="P242" i="5"/>
  <c r="P241" i="5"/>
  <c r="P240" i="5"/>
  <c r="P239" i="5"/>
  <c r="P238" i="5"/>
  <c r="P237" i="5"/>
  <c r="P181" i="5"/>
  <c r="P213" i="5"/>
  <c r="P212" i="5"/>
  <c r="P211" i="5"/>
  <c r="P210" i="5"/>
  <c r="P209" i="5"/>
  <c r="P208" i="5"/>
  <c r="P207" i="5"/>
  <c r="P206" i="5"/>
  <c r="P198" i="5"/>
  <c r="P197" i="5"/>
  <c r="P196" i="5"/>
  <c r="P195" i="5"/>
  <c r="P194" i="5"/>
  <c r="P193" i="5"/>
  <c r="P192" i="5"/>
  <c r="P191" i="5"/>
  <c r="P190" i="5"/>
  <c r="P186" i="5"/>
  <c r="P185" i="5"/>
  <c r="P184" i="5"/>
  <c r="P183" i="5"/>
  <c r="P182" i="5"/>
  <c r="I153" i="5"/>
  <c r="I146" i="5"/>
  <c r="I141" i="5"/>
  <c r="I135" i="5"/>
  <c r="I129" i="5"/>
  <c r="P126" i="5"/>
  <c r="P152" i="5"/>
  <c r="P151" i="5"/>
  <c r="P150" i="5"/>
  <c r="P145" i="5"/>
  <c r="P144" i="5"/>
  <c r="P140" i="5"/>
  <c r="P139" i="5"/>
  <c r="P138" i="5"/>
  <c r="P134" i="5"/>
  <c r="P133" i="5"/>
  <c r="P132" i="5"/>
  <c r="P128" i="5"/>
  <c r="P127" i="5"/>
  <c r="I88" i="5"/>
  <c r="I78" i="5"/>
  <c r="P74" i="5"/>
  <c r="P87" i="5"/>
  <c r="P86" i="5"/>
  <c r="P85" i="5"/>
  <c r="P84" i="5"/>
  <c r="P83" i="5"/>
  <c r="P82" i="5"/>
  <c r="P77" i="5"/>
  <c r="P76" i="5"/>
  <c r="P75" i="5"/>
  <c r="P27" i="5"/>
  <c r="P35" i="5"/>
  <c r="P34" i="5"/>
  <c r="P33" i="5"/>
  <c r="P32" i="5"/>
  <c r="P31" i="5"/>
  <c r="P30" i="5"/>
  <c r="P29" i="5"/>
  <c r="P28" i="5"/>
  <c r="P23" i="5"/>
  <c r="P22" i="5"/>
  <c r="P21" i="5"/>
  <c r="P20" i="5"/>
  <c r="P19" i="5"/>
  <c r="P18" i="5"/>
  <c r="O77" i="4"/>
  <c r="O73" i="4"/>
  <c r="O35" i="4"/>
  <c r="O34" i="4"/>
  <c r="O28" i="4"/>
  <c r="O27" i="4"/>
  <c r="O26" i="4"/>
  <c r="O25" i="4"/>
  <c r="O21" i="4"/>
  <c r="O20" i="4"/>
  <c r="O19" i="4"/>
  <c r="O29" i="3"/>
  <c r="O28" i="3"/>
  <c r="O27" i="3"/>
  <c r="O20" i="3"/>
  <c r="O19" i="3"/>
  <c r="P217" i="5" l="1"/>
  <c r="P264" i="5"/>
  <c r="O31" i="4"/>
  <c r="P146" i="5"/>
  <c r="P202" i="5"/>
  <c r="P304" i="5"/>
  <c r="P24" i="5"/>
  <c r="P78" i="5"/>
  <c r="P141" i="5"/>
  <c r="P129" i="5"/>
  <c r="P135" i="5"/>
  <c r="P153" i="5"/>
  <c r="P187" i="5"/>
  <c r="P317" i="5"/>
  <c r="P296" i="5"/>
  <c r="P350" i="5"/>
  <c r="P40" i="5"/>
  <c r="P88" i="5"/>
  <c r="I350" i="5"/>
  <c r="I304" i="5"/>
  <c r="I187" i="5"/>
  <c r="G298" i="14" l="1"/>
  <c r="G297" i="14"/>
  <c r="G233" i="14"/>
  <c r="G232" i="14"/>
  <c r="G167" i="14"/>
  <c r="G168" i="14"/>
  <c r="G169" i="14"/>
  <c r="G166" i="14"/>
  <c r="G77" i="14"/>
  <c r="G78" i="14"/>
  <c r="G79" i="14"/>
  <c r="G80" i="14"/>
  <c r="G81" i="14"/>
  <c r="G76" i="14"/>
  <c r="G58" i="13" l="1"/>
  <c r="X35" i="13"/>
  <c r="R4" i="13"/>
  <c r="H30" i="9" l="1"/>
  <c r="H29" i="9"/>
  <c r="H28" i="9"/>
  <c r="H27" i="9"/>
  <c r="H26" i="9"/>
  <c r="H25" i="9"/>
  <c r="H24" i="9"/>
  <c r="H23" i="9"/>
  <c r="H22" i="9"/>
  <c r="H21" i="9"/>
  <c r="H20" i="9"/>
  <c r="J140" i="6"/>
  <c r="J139" i="6"/>
  <c r="J51" i="6"/>
  <c r="J50" i="6"/>
  <c r="Q50" i="6" l="1"/>
  <c r="Q51" i="6"/>
  <c r="Q139" i="6"/>
  <c r="Q140" i="6"/>
  <c r="H38" i="6"/>
  <c r="H47" i="6"/>
  <c r="H75" i="11"/>
  <c r="H95" i="6"/>
  <c r="H104" i="6"/>
  <c r="O95" i="6"/>
  <c r="H33" i="6"/>
  <c r="H20" i="6"/>
  <c r="H43" i="6"/>
  <c r="H75" i="6"/>
  <c r="H109" i="6"/>
  <c r="H130" i="6"/>
  <c r="H135" i="6"/>
  <c r="O130" i="6"/>
  <c r="H95" i="11"/>
  <c r="H47" i="11"/>
  <c r="H104" i="11"/>
  <c r="O33" i="11"/>
  <c r="O43" i="11"/>
  <c r="O20" i="11"/>
  <c r="O130" i="11"/>
  <c r="O135" i="11"/>
  <c r="O38" i="11"/>
  <c r="H20" i="11"/>
  <c r="H135" i="11"/>
  <c r="H38" i="11"/>
  <c r="H109" i="11"/>
  <c r="H43" i="11"/>
  <c r="H130" i="11"/>
  <c r="H33" i="11"/>
  <c r="L140" i="6"/>
  <c r="L51" i="6"/>
  <c r="K354" i="5"/>
  <c r="K355" i="5"/>
  <c r="K356" i="5"/>
  <c r="K353" i="5"/>
  <c r="R353" i="5" l="1"/>
  <c r="R355" i="5"/>
  <c r="R356" i="5"/>
  <c r="R354" i="5"/>
  <c r="O109" i="11"/>
  <c r="O109" i="6"/>
  <c r="O20" i="6"/>
  <c r="O104" i="6"/>
  <c r="O43" i="6"/>
  <c r="O135" i="6"/>
  <c r="O33" i="6"/>
  <c r="L50" i="6"/>
  <c r="L52" i="6" s="1"/>
  <c r="O47" i="6"/>
  <c r="O38" i="6"/>
  <c r="S51" i="6"/>
  <c r="U51" i="6" s="1"/>
  <c r="V51" i="6" s="1"/>
  <c r="O75" i="6"/>
  <c r="O104" i="11"/>
  <c r="O95" i="11"/>
  <c r="O75" i="11"/>
  <c r="O47" i="11"/>
  <c r="S140" i="6"/>
  <c r="U140" i="6" s="1"/>
  <c r="V140" i="6" s="1"/>
  <c r="H141" i="6"/>
  <c r="H52" i="6" l="1"/>
  <c r="O141" i="6"/>
  <c r="S139" i="6"/>
  <c r="S141" i="6" s="1"/>
  <c r="K158" i="5"/>
  <c r="K157" i="5"/>
  <c r="K93" i="5"/>
  <c r="K94" i="5"/>
  <c r="K95" i="5"/>
  <c r="K92" i="5"/>
  <c r="R95" i="5" l="1"/>
  <c r="R94" i="5"/>
  <c r="R93" i="5"/>
  <c r="R158" i="5"/>
  <c r="R92" i="5"/>
  <c r="R157" i="5"/>
  <c r="S50" i="6"/>
  <c r="O52" i="6"/>
  <c r="I24" i="5"/>
  <c r="S81" i="6" l="1"/>
  <c r="B5" i="4"/>
  <c r="B5" i="7"/>
  <c r="B5" i="11"/>
  <c r="C5" i="5"/>
  <c r="B5" i="6"/>
  <c r="S52" i="6"/>
  <c r="U50" i="6"/>
  <c r="V50" i="6" s="1"/>
  <c r="U81" i="6" l="1"/>
  <c r="V81" i="6" s="1"/>
  <c r="B5" i="3"/>
  <c r="F12" i="10"/>
  <c r="U52" i="6"/>
  <c r="V52" i="6" s="1"/>
  <c r="H78" i="4" l="1"/>
  <c r="H74" i="4"/>
  <c r="O22" i="4" l="1"/>
  <c r="H36" i="4"/>
  <c r="O36" i="4" l="1"/>
  <c r="O78" i="4"/>
  <c r="O74" i="4"/>
  <c r="H21" i="3" l="1"/>
  <c r="H31" i="3"/>
  <c r="O21" i="3" l="1"/>
  <c r="O31" i="3"/>
  <c r="R67" i="24" l="1"/>
  <c r="S67" i="24" s="1"/>
  <c r="R14" i="24"/>
  <c r="S14" i="24" s="1"/>
  <c r="S30" i="24" s="1"/>
  <c r="S83" i="24" l="1"/>
  <c r="T83" i="24" s="1"/>
  <c r="T67" i="24"/>
  <c r="T30" i="24"/>
  <c r="T14" i="24"/>
  <c r="S246" i="24" l="1"/>
  <c r="T246" i="24" l="1"/>
  <c r="S341" i="24"/>
  <c r="T341" i="24" s="1"/>
  <c r="I27" i="13" l="1"/>
  <c r="B5" i="24"/>
  <c r="L27" i="13" l="1"/>
  <c r="L58" i="13" s="1"/>
  <c r="I58" i="13"/>
  <c r="M27" i="13" l="1"/>
  <c r="M58" i="13"/>
  <c r="L139" i="6" l="1"/>
  <c r="U139" i="6" s="1"/>
  <c r="V139" i="6" s="1"/>
  <c r="L141" i="6"/>
  <c r="U141" i="6" s="1"/>
  <c r="V141" i="6" s="1"/>
  <c r="K51" i="5"/>
  <c r="M51" i="5" s="1"/>
  <c r="K49" i="5"/>
  <c r="J29" i="4"/>
  <c r="K215" i="5"/>
  <c r="M215" i="5" s="1"/>
  <c r="K199" i="5"/>
  <c r="J88" i="11"/>
  <c r="L88" i="11" s="1"/>
  <c r="K48" i="5"/>
  <c r="M48" i="5" s="1"/>
  <c r="K200" i="5"/>
  <c r="R200" i="5" s="1"/>
  <c r="T200" i="5" s="1"/>
  <c r="J26" i="11"/>
  <c r="K36" i="5"/>
  <c r="K201" i="5"/>
  <c r="K45" i="5"/>
  <c r="M45" i="5" s="1"/>
  <c r="K50" i="5"/>
  <c r="M50" i="5" s="1"/>
  <c r="K214" i="5"/>
  <c r="M214" i="5" s="1"/>
  <c r="K46" i="5"/>
  <c r="K38" i="5"/>
  <c r="M38" i="5" s="1"/>
  <c r="K47" i="5"/>
  <c r="K44" i="5"/>
  <c r="R44" i="5" s="1"/>
  <c r="T44" i="5" s="1"/>
  <c r="J81" i="11"/>
  <c r="K216" i="5"/>
  <c r="M216" i="5" s="1"/>
  <c r="K43" i="5"/>
  <c r="J88" i="6"/>
  <c r="L88" i="6" s="1"/>
  <c r="J100" i="6"/>
  <c r="J103" i="6"/>
  <c r="L103" i="6" s="1"/>
  <c r="J46" i="6"/>
  <c r="Q46" i="6" s="1"/>
  <c r="S46" i="6" s="1"/>
  <c r="J37" i="6"/>
  <c r="L37" i="6" s="1"/>
  <c r="J25" i="11"/>
  <c r="J99" i="11"/>
  <c r="J74" i="11"/>
  <c r="J94" i="11"/>
  <c r="J42" i="11"/>
  <c r="L42" i="11" s="1"/>
  <c r="J101" i="6"/>
  <c r="J80" i="11"/>
  <c r="J87" i="6"/>
  <c r="J108" i="6"/>
  <c r="L108" i="6" s="1"/>
  <c r="J19" i="6"/>
  <c r="J93" i="6"/>
  <c r="J100" i="11"/>
  <c r="J46" i="11"/>
  <c r="L46" i="11" s="1"/>
  <c r="J37" i="11"/>
  <c r="J108" i="11"/>
  <c r="L108" i="11" s="1"/>
  <c r="J32" i="6"/>
  <c r="J94" i="6"/>
  <c r="J134" i="6"/>
  <c r="J129" i="6"/>
  <c r="L129" i="6" s="1"/>
  <c r="J31" i="6"/>
  <c r="J42" i="6"/>
  <c r="L42" i="6" s="1"/>
  <c r="J134" i="11"/>
  <c r="J93" i="11"/>
  <c r="J102" i="11"/>
  <c r="L102" i="11" s="1"/>
  <c r="J86" i="11"/>
  <c r="J129" i="11"/>
  <c r="L129" i="11" s="1"/>
  <c r="J86" i="6"/>
  <c r="J99" i="6"/>
  <c r="J102" i="6"/>
  <c r="L102" i="6" s="1"/>
  <c r="J74" i="6"/>
  <c r="J103" i="11"/>
  <c r="Q103" i="11" s="1"/>
  <c r="S103" i="11" s="1"/>
  <c r="J101" i="11"/>
  <c r="L101" i="11" s="1"/>
  <c r="J19" i="11"/>
  <c r="J24" i="11"/>
  <c r="J31" i="11"/>
  <c r="J32" i="11"/>
  <c r="J79" i="11"/>
  <c r="J87" i="11"/>
  <c r="L87" i="11" s="1"/>
  <c r="J107" i="11"/>
  <c r="L107" i="11" s="1"/>
  <c r="L109" i="11" s="1"/>
  <c r="J24" i="6"/>
  <c r="K196" i="5"/>
  <c r="K348" i="5"/>
  <c r="M348" i="5" s="1"/>
  <c r="K242" i="5"/>
  <c r="K347" i="5"/>
  <c r="M347" i="5" s="1"/>
  <c r="K299" i="5"/>
  <c r="M299" i="5" s="1"/>
  <c r="K313" i="5"/>
  <c r="J98" i="6"/>
  <c r="K182" i="5"/>
  <c r="K247" i="5"/>
  <c r="M247" i="5" s="1"/>
  <c r="K185" i="5"/>
  <c r="K309" i="5"/>
  <c r="K250" i="5"/>
  <c r="M250" i="5" s="1"/>
  <c r="K261" i="5"/>
  <c r="K262" i="5"/>
  <c r="K246" i="5"/>
  <c r="K260" i="5"/>
  <c r="M260" i="5" s="1"/>
  <c r="J23" i="6"/>
  <c r="J45" i="6"/>
  <c r="J128" i="6"/>
  <c r="J78" i="11"/>
  <c r="J45" i="11"/>
  <c r="K256" i="5"/>
  <c r="K258" i="5"/>
  <c r="J107" i="6"/>
  <c r="K252" i="5"/>
  <c r="K210" i="5"/>
  <c r="M210" i="5" s="1"/>
  <c r="K240" i="5"/>
  <c r="M240" i="5" s="1"/>
  <c r="K255" i="5"/>
  <c r="M255" i="5" s="1"/>
  <c r="K241" i="5"/>
  <c r="K237" i="5"/>
  <c r="R237" i="5" s="1"/>
  <c r="T237" i="5" s="1"/>
  <c r="J41" i="11"/>
  <c r="J133" i="11"/>
  <c r="J79" i="6"/>
  <c r="K248" i="5"/>
  <c r="M248" i="5" s="1"/>
  <c r="K291" i="5"/>
  <c r="M291" i="5" s="1"/>
  <c r="K197" i="5"/>
  <c r="M197" i="5" s="1"/>
  <c r="K316" i="5"/>
  <c r="K263" i="5"/>
  <c r="M263" i="5" s="1"/>
  <c r="K238" i="5"/>
  <c r="M238" i="5" s="1"/>
  <c r="K213" i="5"/>
  <c r="M213" i="5" s="1"/>
  <c r="K308" i="5"/>
  <c r="K193" i="5"/>
  <c r="K212" i="5"/>
  <c r="M212" i="5" s="1"/>
  <c r="K208" i="5"/>
  <c r="M208" i="5" s="1"/>
  <c r="K294" i="5"/>
  <c r="K183" i="5"/>
  <c r="K251" i="5"/>
  <c r="M251" i="5" s="1"/>
  <c r="J30" i="6"/>
  <c r="K259" i="5"/>
  <c r="M259" i="5" s="1"/>
  <c r="J36" i="6"/>
  <c r="K239" i="5"/>
  <c r="K249" i="5"/>
  <c r="J85" i="11"/>
  <c r="J98" i="11"/>
  <c r="J85" i="6"/>
  <c r="K209" i="5"/>
  <c r="J36" i="11"/>
  <c r="J92" i="6"/>
  <c r="K301" i="5"/>
  <c r="M301" i="5" s="1"/>
  <c r="K315" i="5"/>
  <c r="K186" i="5"/>
  <c r="J41" i="6"/>
  <c r="K206" i="5"/>
  <c r="M206" i="5" s="1"/>
  <c r="K207" i="5"/>
  <c r="K244" i="5"/>
  <c r="M244" i="5" s="1"/>
  <c r="K184" i="5"/>
  <c r="K257" i="5"/>
  <c r="M257" i="5" s="1"/>
  <c r="K314" i="5"/>
  <c r="K349" i="5"/>
  <c r="M349" i="5" s="1"/>
  <c r="K345" i="5"/>
  <c r="K293" i="5"/>
  <c r="M293" i="5" s="1"/>
  <c r="J133" i="6"/>
  <c r="K346" i="5"/>
  <c r="K253" i="5"/>
  <c r="M253" i="5" s="1"/>
  <c r="K254" i="5"/>
  <c r="M254" i="5" s="1"/>
  <c r="K300" i="5"/>
  <c r="M300" i="5" s="1"/>
  <c r="K211" i="5"/>
  <c r="K295" i="5"/>
  <c r="M295" i="5" s="1"/>
  <c r="K198" i="5"/>
  <c r="M198" i="5" s="1"/>
  <c r="K302" i="5"/>
  <c r="M302" i="5" s="1"/>
  <c r="K303" i="5"/>
  <c r="K310" i="5"/>
  <c r="K243" i="5"/>
  <c r="M243" i="5" s="1"/>
  <c r="K292" i="5"/>
  <c r="M292" i="5" s="1"/>
  <c r="J30" i="11"/>
  <c r="J23" i="11"/>
  <c r="J128" i="11"/>
  <c r="J25" i="6"/>
  <c r="K236" i="5"/>
  <c r="K307" i="5"/>
  <c r="K190" i="5"/>
  <c r="K344" i="5"/>
  <c r="K290" i="5"/>
  <c r="J92" i="11"/>
  <c r="K194" i="5"/>
  <c r="M194" i="5" s="1"/>
  <c r="K298" i="5"/>
  <c r="K205" i="5"/>
  <c r="J80" i="6"/>
  <c r="K195" i="5"/>
  <c r="M195" i="5" s="1"/>
  <c r="K192" i="5"/>
  <c r="M192" i="5" s="1"/>
  <c r="K152" i="5"/>
  <c r="M152" i="5" s="1"/>
  <c r="J73" i="11"/>
  <c r="K127" i="5"/>
  <c r="K22" i="5"/>
  <c r="K87" i="5"/>
  <c r="M87" i="5" s="1"/>
  <c r="K128" i="5"/>
  <c r="K86" i="5"/>
  <c r="K33" i="5"/>
  <c r="K151" i="5"/>
  <c r="M151" i="5" s="1"/>
  <c r="K30" i="5"/>
  <c r="K75" i="5"/>
  <c r="K140" i="5"/>
  <c r="M140" i="5" s="1"/>
  <c r="K145" i="5"/>
  <c r="K21" i="5"/>
  <c r="K23" i="5"/>
  <c r="K139" i="5"/>
  <c r="M139" i="5" s="1"/>
  <c r="K76" i="5"/>
  <c r="K20" i="5"/>
  <c r="K77" i="5"/>
  <c r="K35" i="5"/>
  <c r="M35" i="5" s="1"/>
  <c r="K85" i="5"/>
  <c r="J26" i="6"/>
  <c r="J20" i="7"/>
  <c r="K83" i="5"/>
  <c r="M83" i="5" s="1"/>
  <c r="K84" i="5"/>
  <c r="M84" i="5" s="1"/>
  <c r="K19" i="5"/>
  <c r="K82" i="5"/>
  <c r="K132" i="5"/>
  <c r="K150" i="5"/>
  <c r="K138" i="5"/>
  <c r="K29" i="5"/>
  <c r="K181" i="5"/>
  <c r="K191" i="5"/>
  <c r="M191" i="5" s="1"/>
  <c r="K74" i="5"/>
  <c r="K134" i="5"/>
  <c r="R134" i="5" s="1"/>
  <c r="T134" i="5" s="1"/>
  <c r="K32" i="5"/>
  <c r="M32" i="5" s="1"/>
  <c r="K27" i="5"/>
  <c r="K144" i="5"/>
  <c r="J78" i="6"/>
  <c r="K133" i="5"/>
  <c r="M133" i="5" s="1"/>
  <c r="J18" i="7"/>
  <c r="J18" i="11"/>
  <c r="J73" i="6"/>
  <c r="J18" i="6"/>
  <c r="J35" i="4"/>
  <c r="L35" i="4" s="1"/>
  <c r="J27" i="4"/>
  <c r="J20" i="4"/>
  <c r="J21" i="4"/>
  <c r="J26" i="4"/>
  <c r="J28" i="4"/>
  <c r="J77" i="4"/>
  <c r="J25" i="4"/>
  <c r="J34" i="4"/>
  <c r="J73" i="4"/>
  <c r="J19" i="4"/>
  <c r="J29" i="3"/>
  <c r="J28" i="3"/>
  <c r="J20" i="3"/>
  <c r="J27" i="3"/>
  <c r="K37" i="5"/>
  <c r="M37" i="5" s="1"/>
  <c r="K34" i="5"/>
  <c r="M34" i="5" s="1"/>
  <c r="K31" i="5"/>
  <c r="M31" i="5" s="1"/>
  <c r="K28" i="5"/>
  <c r="M28" i="5" s="1"/>
  <c r="K18" i="5"/>
  <c r="K126" i="5"/>
  <c r="J19" i="3"/>
  <c r="Q25" i="4" l="1"/>
  <c r="F92" i="38"/>
  <c r="R344" i="5"/>
  <c r="M314" i="5"/>
  <c r="L30" i="6"/>
  <c r="G27" i="39"/>
  <c r="Q133" i="11"/>
  <c r="H28" i="39"/>
  <c r="G137" i="38"/>
  <c r="L27" i="3"/>
  <c r="F39" i="38"/>
  <c r="L77" i="4"/>
  <c r="L78" i="4" s="1"/>
  <c r="L20" i="4"/>
  <c r="L18" i="6"/>
  <c r="G26" i="39"/>
  <c r="M181" i="5"/>
  <c r="M33" i="5"/>
  <c r="G140" i="38"/>
  <c r="M22" i="5"/>
  <c r="L25" i="6"/>
  <c r="H32" i="39"/>
  <c r="L133" i="6"/>
  <c r="M315" i="5"/>
  <c r="M249" i="5"/>
  <c r="H83" i="39"/>
  <c r="R36" i="5"/>
  <c r="G141" i="38"/>
  <c r="Q19" i="4"/>
  <c r="F90" i="38"/>
  <c r="L78" i="6"/>
  <c r="M82" i="5"/>
  <c r="M239" i="5"/>
  <c r="M246" i="5"/>
  <c r="L98" i="6"/>
  <c r="M242" i="5"/>
  <c r="L93" i="11"/>
  <c r="L80" i="11"/>
  <c r="R43" i="5"/>
  <c r="F135" i="38"/>
  <c r="R199" i="5"/>
  <c r="L18" i="11"/>
  <c r="G80" i="39"/>
  <c r="M74" i="5"/>
  <c r="M138" i="5"/>
  <c r="M141" i="5" s="1"/>
  <c r="M19" i="5"/>
  <c r="M20" i="5"/>
  <c r="M30" i="5"/>
  <c r="G139" i="38"/>
  <c r="M128" i="5"/>
  <c r="L80" i="6"/>
  <c r="L92" i="11"/>
  <c r="L23" i="11"/>
  <c r="G84" i="39"/>
  <c r="M310" i="5"/>
  <c r="L41" i="6"/>
  <c r="Q92" i="6"/>
  <c r="L98" i="11"/>
  <c r="L36" i="6"/>
  <c r="L38" i="6" s="1"/>
  <c r="M183" i="5"/>
  <c r="M193" i="5"/>
  <c r="Q45" i="6"/>
  <c r="M185" i="5"/>
  <c r="L24" i="11"/>
  <c r="H85" i="39"/>
  <c r="H26" i="39"/>
  <c r="M18" i="5"/>
  <c r="F134" i="38"/>
  <c r="L29" i="3"/>
  <c r="L21" i="4"/>
  <c r="M132" i="5"/>
  <c r="I138" i="38"/>
  <c r="R298" i="5"/>
  <c r="M182" i="5"/>
  <c r="H31" i="39"/>
  <c r="H29" i="39"/>
  <c r="L73" i="6"/>
  <c r="L20" i="7"/>
  <c r="M77" i="5"/>
  <c r="M127" i="5"/>
  <c r="M190" i="5"/>
  <c r="L85" i="6"/>
  <c r="H82" i="39"/>
  <c r="L86" i="6"/>
  <c r="L93" i="6"/>
  <c r="L26" i="11"/>
  <c r="H87" i="39"/>
  <c r="Q19" i="3"/>
  <c r="F36" i="38"/>
  <c r="L20" i="3"/>
  <c r="L73" i="4"/>
  <c r="L74" i="4" s="1"/>
  <c r="L82" i="4" s="1"/>
  <c r="G18" i="13" s="1"/>
  <c r="L28" i="4"/>
  <c r="L27" i="4"/>
  <c r="M144" i="5"/>
  <c r="M146" i="5" s="1"/>
  <c r="L26" i="6"/>
  <c r="H33" i="39"/>
  <c r="M21" i="5"/>
  <c r="G134" i="38"/>
  <c r="Q73" i="11"/>
  <c r="M126" i="5"/>
  <c r="I134" i="38"/>
  <c r="L28" i="3"/>
  <c r="F40" i="38"/>
  <c r="L34" i="4"/>
  <c r="L36" i="4" s="1"/>
  <c r="L26" i="4"/>
  <c r="L18" i="7"/>
  <c r="L23" i="7" s="1"/>
  <c r="G26" i="13" s="1"/>
  <c r="M27" i="5"/>
  <c r="F138" i="38"/>
  <c r="R150" i="5"/>
  <c r="M145" i="5"/>
  <c r="R205" i="5"/>
  <c r="M290" i="5"/>
  <c r="M236" i="5"/>
  <c r="L30" i="11"/>
  <c r="G81" i="39"/>
  <c r="M252" i="5"/>
  <c r="Q23" i="6"/>
  <c r="G30" i="39"/>
  <c r="Q79" i="11"/>
  <c r="L19" i="11"/>
  <c r="H80" i="39"/>
  <c r="L94" i="6"/>
  <c r="L25" i="11"/>
  <c r="H86" i="39"/>
  <c r="Q100" i="6"/>
  <c r="L81" i="11"/>
  <c r="R46" i="5"/>
  <c r="G136" i="38"/>
  <c r="Q29" i="4"/>
  <c r="R82" i="5"/>
  <c r="R182" i="5"/>
  <c r="Q42" i="11"/>
  <c r="S42" i="11" s="1"/>
  <c r="U42" i="11" s="1"/>
  <c r="V42" i="11" s="1"/>
  <c r="R247" i="5"/>
  <c r="T247" i="5" s="1"/>
  <c r="V247" i="5" s="1"/>
  <c r="W247" i="5" s="1"/>
  <c r="R242" i="5"/>
  <c r="Q108" i="6"/>
  <c r="S108" i="6" s="1"/>
  <c r="U108" i="6" s="1"/>
  <c r="V108" i="6" s="1"/>
  <c r="Q37" i="6"/>
  <c r="S37" i="6" s="1"/>
  <c r="U37" i="6" s="1"/>
  <c r="V37" i="6" s="1"/>
  <c r="R84" i="5"/>
  <c r="T84" i="5" s="1"/>
  <c r="V84" i="5" s="1"/>
  <c r="W84" i="5" s="1"/>
  <c r="Q93" i="6"/>
  <c r="R27" i="5"/>
  <c r="R83" i="5"/>
  <c r="T83" i="5" s="1"/>
  <c r="V83" i="5" s="1"/>
  <c r="W83" i="5" s="1"/>
  <c r="Q30" i="11"/>
  <c r="Q80" i="11"/>
  <c r="Q103" i="6"/>
  <c r="S103" i="6" s="1"/>
  <c r="U103" i="6" s="1"/>
  <c r="V103" i="6" s="1"/>
  <c r="Q26" i="6"/>
  <c r="R87" i="5"/>
  <c r="T87" i="5" s="1"/>
  <c r="V87" i="5" s="1"/>
  <c r="W87" i="5" s="1"/>
  <c r="R195" i="5"/>
  <c r="T195" i="5" s="1"/>
  <c r="V195" i="5" s="1"/>
  <c r="W195" i="5" s="1"/>
  <c r="R236" i="5"/>
  <c r="R243" i="5"/>
  <c r="T243" i="5" s="1"/>
  <c r="V243" i="5" s="1"/>
  <c r="W243" i="5" s="1"/>
  <c r="L43" i="6"/>
  <c r="Q98" i="11"/>
  <c r="R251" i="5"/>
  <c r="T251" i="5" s="1"/>
  <c r="V251" i="5" s="1"/>
  <c r="W251" i="5" s="1"/>
  <c r="M205" i="5"/>
  <c r="R347" i="5"/>
  <c r="T347" i="5" s="1"/>
  <c r="V347" i="5" s="1"/>
  <c r="W347" i="5" s="1"/>
  <c r="L133" i="11"/>
  <c r="M36" i="5"/>
  <c r="L100" i="6"/>
  <c r="Q73" i="4"/>
  <c r="Q20" i="4"/>
  <c r="R138" i="5"/>
  <c r="R145" i="5"/>
  <c r="R30" i="5"/>
  <c r="Q92" i="11"/>
  <c r="R310" i="5"/>
  <c r="R198" i="5"/>
  <c r="T198" i="5" s="1"/>
  <c r="V198" i="5" s="1"/>
  <c r="W198" i="5" s="1"/>
  <c r="R348" i="5"/>
  <c r="T348" i="5" s="1"/>
  <c r="V348" i="5" s="1"/>
  <c r="W348" i="5" s="1"/>
  <c r="Q107" i="11"/>
  <c r="S107" i="11" s="1"/>
  <c r="U107" i="11" s="1"/>
  <c r="V107" i="11" s="1"/>
  <c r="Q81" i="11"/>
  <c r="R38" i="5"/>
  <c r="T38" i="5" s="1"/>
  <c r="V38" i="5" s="1"/>
  <c r="W38" i="5" s="1"/>
  <c r="R50" i="5"/>
  <c r="T50" i="5" s="1"/>
  <c r="V50" i="5" s="1"/>
  <c r="W50" i="5" s="1"/>
  <c r="R48" i="5"/>
  <c r="T48" i="5" s="1"/>
  <c r="V48" i="5" s="1"/>
  <c r="W48" i="5" s="1"/>
  <c r="R215" i="5"/>
  <c r="T215" i="5" s="1"/>
  <c r="V215" i="5" s="1"/>
  <c r="W215" i="5" s="1"/>
  <c r="R51" i="5"/>
  <c r="T51" i="5" s="1"/>
  <c r="V51" i="5" s="1"/>
  <c r="W51" i="5" s="1"/>
  <c r="M200" i="5"/>
  <c r="V200" i="5" s="1"/>
  <c r="W200" i="5" s="1"/>
  <c r="R126" i="5"/>
  <c r="R34" i="5"/>
  <c r="T34" i="5" s="1"/>
  <c r="V34" i="5" s="1"/>
  <c r="W34" i="5" s="1"/>
  <c r="L19" i="3"/>
  <c r="L21" i="3" s="1"/>
  <c r="Q21" i="4"/>
  <c r="Q18" i="6"/>
  <c r="Q18" i="11"/>
  <c r="R144" i="5"/>
  <c r="R181" i="5"/>
  <c r="R140" i="5"/>
  <c r="T140" i="5" s="1"/>
  <c r="V140" i="5" s="1"/>
  <c r="W140" i="5" s="1"/>
  <c r="R127" i="5"/>
  <c r="R194" i="5"/>
  <c r="T194" i="5" s="1"/>
  <c r="V194" i="5" s="1"/>
  <c r="W194" i="5" s="1"/>
  <c r="R190" i="5"/>
  <c r="R254" i="5"/>
  <c r="T254" i="5" s="1"/>
  <c r="V254" i="5" s="1"/>
  <c r="W254" i="5" s="1"/>
  <c r="Q133" i="6"/>
  <c r="R349" i="5"/>
  <c r="T349" i="5" s="1"/>
  <c r="V349" i="5" s="1"/>
  <c r="W349" i="5" s="1"/>
  <c r="Q85" i="6"/>
  <c r="R239" i="5"/>
  <c r="R212" i="5"/>
  <c r="T212" i="5" s="1"/>
  <c r="V212" i="5" s="1"/>
  <c r="W212" i="5" s="1"/>
  <c r="R248" i="5"/>
  <c r="T248" i="5" s="1"/>
  <c r="V248" i="5" s="1"/>
  <c r="W248" i="5" s="1"/>
  <c r="M344" i="5"/>
  <c r="R240" i="5"/>
  <c r="T240" i="5" s="1"/>
  <c r="V240" i="5" s="1"/>
  <c r="W240" i="5" s="1"/>
  <c r="R252" i="5"/>
  <c r="Q94" i="6"/>
  <c r="Q88" i="6"/>
  <c r="S88" i="6" s="1"/>
  <c r="M237" i="5"/>
  <c r="V237" i="5" s="1"/>
  <c r="W237" i="5" s="1"/>
  <c r="L79" i="11"/>
  <c r="L73" i="11"/>
  <c r="R31" i="5"/>
  <c r="T31" i="5" s="1"/>
  <c r="V31" i="5" s="1"/>
  <c r="W31" i="5" s="1"/>
  <c r="Q20" i="3"/>
  <c r="R191" i="5"/>
  <c r="T191" i="5" s="1"/>
  <c r="V191" i="5" s="1"/>
  <c r="W191" i="5" s="1"/>
  <c r="R132" i="5"/>
  <c r="Q20" i="7"/>
  <c r="R77" i="5"/>
  <c r="R151" i="5"/>
  <c r="T151" i="5" s="1"/>
  <c r="V151" i="5" s="1"/>
  <c r="W151" i="5" s="1"/>
  <c r="R33" i="5"/>
  <c r="R128" i="5"/>
  <c r="M150" i="5"/>
  <c r="M153" i="5" s="1"/>
  <c r="R152" i="5"/>
  <c r="T152" i="5" s="1"/>
  <c r="V152" i="5" s="1"/>
  <c r="W152" i="5" s="1"/>
  <c r="R192" i="5"/>
  <c r="T192" i="5" s="1"/>
  <c r="V192" i="5" s="1"/>
  <c r="W192" i="5" s="1"/>
  <c r="Q80" i="6"/>
  <c r="R290" i="5"/>
  <c r="Q25" i="6"/>
  <c r="Q23" i="11"/>
  <c r="Q30" i="6"/>
  <c r="R238" i="5"/>
  <c r="T238" i="5" s="1"/>
  <c r="V238" i="5" s="1"/>
  <c r="W238" i="5" s="1"/>
  <c r="R260" i="5"/>
  <c r="T260" i="5" s="1"/>
  <c r="V260" i="5" s="1"/>
  <c r="W260" i="5" s="1"/>
  <c r="R185" i="5"/>
  <c r="Q19" i="11"/>
  <c r="Q101" i="11"/>
  <c r="S101" i="11" s="1"/>
  <c r="U101" i="11" s="1"/>
  <c r="V101" i="11" s="1"/>
  <c r="Q86" i="6"/>
  <c r="Q129" i="6"/>
  <c r="S129" i="6" s="1"/>
  <c r="U129" i="6" s="1"/>
  <c r="V129" i="6" s="1"/>
  <c r="Q108" i="11"/>
  <c r="S108" i="11" s="1"/>
  <c r="U108" i="11" s="1"/>
  <c r="V108" i="11" s="1"/>
  <c r="Q46" i="11"/>
  <c r="S46" i="11" s="1"/>
  <c r="U46" i="11" s="1"/>
  <c r="V46" i="11" s="1"/>
  <c r="L45" i="6"/>
  <c r="L92" i="6"/>
  <c r="M43" i="5"/>
  <c r="M46" i="5"/>
  <c r="L29" i="4"/>
  <c r="R37" i="5"/>
  <c r="T37" i="5" s="1"/>
  <c r="V37" i="5" s="1"/>
  <c r="W37" i="5" s="1"/>
  <c r="Q27" i="3"/>
  <c r="Q28" i="3" s="1"/>
  <c r="Q34" i="4"/>
  <c r="Q18" i="7"/>
  <c r="Q78" i="6"/>
  <c r="R139" i="5"/>
  <c r="T139" i="5" s="1"/>
  <c r="V139" i="5" s="1"/>
  <c r="W139" i="5" s="1"/>
  <c r="R314" i="5"/>
  <c r="Q41" i="6"/>
  <c r="R301" i="5"/>
  <c r="T301" i="5" s="1"/>
  <c r="V301" i="5" s="1"/>
  <c r="W301" i="5" s="1"/>
  <c r="R249" i="5"/>
  <c r="Q36" i="6"/>
  <c r="Q98" i="6"/>
  <c r="R299" i="5"/>
  <c r="T299" i="5" s="1"/>
  <c r="V299" i="5" s="1"/>
  <c r="W299" i="5" s="1"/>
  <c r="Q87" i="11"/>
  <c r="S87" i="11" s="1"/>
  <c r="U87" i="11" s="1"/>
  <c r="V87" i="11" s="1"/>
  <c r="Q24" i="11"/>
  <c r="Q102" i="6"/>
  <c r="S102" i="6" s="1"/>
  <c r="U102" i="6" s="1"/>
  <c r="V102" i="6" s="1"/>
  <c r="Q129" i="11"/>
  <c r="S129" i="11" s="1"/>
  <c r="U129" i="11" s="1"/>
  <c r="V129" i="11" s="1"/>
  <c r="Q102" i="11"/>
  <c r="S102" i="11" s="1"/>
  <c r="U102" i="11" s="1"/>
  <c r="V102" i="11" s="1"/>
  <c r="Q93" i="11"/>
  <c r="Q42" i="6"/>
  <c r="S42" i="6" s="1"/>
  <c r="U42" i="6" s="1"/>
  <c r="V42" i="6" s="1"/>
  <c r="L23" i="6"/>
  <c r="Q26" i="11"/>
  <c r="L46" i="6"/>
  <c r="U46" i="6" s="1"/>
  <c r="V46" i="6" s="1"/>
  <c r="M44" i="5"/>
  <c r="V44" i="5" s="1"/>
  <c r="W44" i="5" s="1"/>
  <c r="I157" i="5"/>
  <c r="M23" i="5"/>
  <c r="R23" i="5"/>
  <c r="M209" i="5"/>
  <c r="R209" i="5"/>
  <c r="T209" i="5" s="1"/>
  <c r="M241" i="5"/>
  <c r="R241" i="5"/>
  <c r="T241" i="5" s="1"/>
  <c r="L107" i="6"/>
  <c r="L109" i="6" s="1"/>
  <c r="Q107" i="6"/>
  <c r="R261" i="5"/>
  <c r="T261" i="5" s="1"/>
  <c r="M261" i="5"/>
  <c r="L32" i="11"/>
  <c r="Q32" i="11"/>
  <c r="L99" i="11"/>
  <c r="Q99" i="11"/>
  <c r="Q128" i="11"/>
  <c r="S128" i="11" s="1"/>
  <c r="L128" i="11"/>
  <c r="L130" i="11" s="1"/>
  <c r="M211" i="5"/>
  <c r="R211" i="5"/>
  <c r="T211" i="5" s="1"/>
  <c r="M207" i="5"/>
  <c r="R207" i="5"/>
  <c r="T207" i="5" s="1"/>
  <c r="R308" i="5"/>
  <c r="M308" i="5"/>
  <c r="M309" i="5"/>
  <c r="R309" i="5"/>
  <c r="M85" i="5"/>
  <c r="R85" i="5"/>
  <c r="R18" i="5"/>
  <c r="L31" i="3"/>
  <c r="L39" i="3" s="1"/>
  <c r="G16" i="13" s="1"/>
  <c r="L19" i="4"/>
  <c r="Q77" i="4"/>
  <c r="Q28" i="4"/>
  <c r="Q27" i="4"/>
  <c r="Q35" i="4"/>
  <c r="S35" i="4" s="1"/>
  <c r="U35" i="4" s="1"/>
  <c r="V35" i="4" s="1"/>
  <c r="R133" i="5"/>
  <c r="T133" i="5" s="1"/>
  <c r="R19" i="5"/>
  <c r="M134" i="5"/>
  <c r="I158" i="5" s="1"/>
  <c r="M158" i="5" s="1"/>
  <c r="M75" i="5"/>
  <c r="R75" i="5"/>
  <c r="R22" i="5"/>
  <c r="R244" i="5"/>
  <c r="T244" i="5" s="1"/>
  <c r="V244" i="5" s="1"/>
  <c r="W244" i="5" s="1"/>
  <c r="R315" i="5"/>
  <c r="M258" i="5"/>
  <c r="R258" i="5"/>
  <c r="T258" i="5" s="1"/>
  <c r="L31" i="11"/>
  <c r="Q31" i="11"/>
  <c r="Q31" i="6"/>
  <c r="L31" i="6"/>
  <c r="Q37" i="11"/>
  <c r="S37" i="11" s="1"/>
  <c r="L37" i="11"/>
  <c r="Q94" i="11"/>
  <c r="L94" i="11"/>
  <c r="L103" i="11"/>
  <c r="U103" i="11" s="1"/>
  <c r="V103" i="11" s="1"/>
  <c r="L25" i="4"/>
  <c r="R29" i="5"/>
  <c r="T29" i="5" s="1"/>
  <c r="M29" i="5"/>
  <c r="M307" i="5"/>
  <c r="R307" i="5"/>
  <c r="M303" i="5"/>
  <c r="R303" i="5"/>
  <c r="T303" i="5" s="1"/>
  <c r="M346" i="5"/>
  <c r="R346" i="5"/>
  <c r="T346" i="5" s="1"/>
  <c r="M294" i="5"/>
  <c r="M296" i="5" s="1"/>
  <c r="R294" i="5"/>
  <c r="T294" i="5" s="1"/>
  <c r="M316" i="5"/>
  <c r="R316" i="5"/>
  <c r="L86" i="11"/>
  <c r="Q86" i="11"/>
  <c r="S86" i="11" s="1"/>
  <c r="M76" i="5"/>
  <c r="R76" i="5"/>
  <c r="R28" i="5"/>
  <c r="T28" i="5" s="1"/>
  <c r="Q29" i="3"/>
  <c r="Q26" i="4"/>
  <c r="Q73" i="6"/>
  <c r="R32" i="5"/>
  <c r="T32" i="5" s="1"/>
  <c r="R35" i="5"/>
  <c r="T35" i="5" s="1"/>
  <c r="V35" i="5" s="1"/>
  <c r="W35" i="5" s="1"/>
  <c r="R21" i="5"/>
  <c r="M86" i="5"/>
  <c r="R86" i="5"/>
  <c r="T86" i="5" s="1"/>
  <c r="M298" i="5"/>
  <c r="L36" i="11"/>
  <c r="Q36" i="11"/>
  <c r="L41" i="11"/>
  <c r="L43" i="11" s="1"/>
  <c r="Q41" i="11"/>
  <c r="L78" i="11"/>
  <c r="L82" i="11" s="1"/>
  <c r="Q78" i="11"/>
  <c r="M262" i="5"/>
  <c r="R262" i="5"/>
  <c r="T262" i="5" s="1"/>
  <c r="M196" i="5"/>
  <c r="R196" i="5"/>
  <c r="L99" i="6"/>
  <c r="Q99" i="6"/>
  <c r="L32" i="6"/>
  <c r="Q32" i="6"/>
  <c r="R74" i="5"/>
  <c r="R20" i="5"/>
  <c r="R302" i="5"/>
  <c r="T302" i="5" s="1"/>
  <c r="V302" i="5" s="1"/>
  <c r="W302" i="5" s="1"/>
  <c r="R300" i="5"/>
  <c r="T300" i="5" s="1"/>
  <c r="M345" i="5"/>
  <c r="R345" i="5"/>
  <c r="T345" i="5" s="1"/>
  <c r="M184" i="5"/>
  <c r="R184" i="5"/>
  <c r="R206" i="5"/>
  <c r="T206" i="5" s="1"/>
  <c r="V206" i="5" s="1"/>
  <c r="W206" i="5" s="1"/>
  <c r="M186" i="5"/>
  <c r="R186" i="5"/>
  <c r="R208" i="5"/>
  <c r="T208" i="5" s="1"/>
  <c r="V208" i="5" s="1"/>
  <c r="W208" i="5" s="1"/>
  <c r="R213" i="5"/>
  <c r="T213" i="5" s="1"/>
  <c r="V213" i="5" s="1"/>
  <c r="W213" i="5" s="1"/>
  <c r="R197" i="5"/>
  <c r="T197" i="5" s="1"/>
  <c r="V197" i="5" s="1"/>
  <c r="W197" i="5" s="1"/>
  <c r="L79" i="6"/>
  <c r="Q79" i="6"/>
  <c r="R255" i="5"/>
  <c r="T255" i="5" s="1"/>
  <c r="V255" i="5" s="1"/>
  <c r="W255" i="5" s="1"/>
  <c r="L24" i="6"/>
  <c r="Q24" i="6"/>
  <c r="L101" i="6"/>
  <c r="Q101" i="6"/>
  <c r="S101" i="6" s="1"/>
  <c r="L74" i="11"/>
  <c r="Q74" i="11"/>
  <c r="Q25" i="11"/>
  <c r="R216" i="5"/>
  <c r="T216" i="5" s="1"/>
  <c r="V216" i="5" s="1"/>
  <c r="W216" i="5" s="1"/>
  <c r="L85" i="11"/>
  <c r="Q85" i="11"/>
  <c r="M256" i="5"/>
  <c r="R256" i="5"/>
  <c r="T256" i="5" s="1"/>
  <c r="L45" i="11"/>
  <c r="L47" i="11" s="1"/>
  <c r="Q45" i="11"/>
  <c r="Q128" i="6"/>
  <c r="L128" i="6"/>
  <c r="L130" i="6" s="1"/>
  <c r="M313" i="5"/>
  <c r="R313" i="5"/>
  <c r="L74" i="6"/>
  <c r="Q74" i="6"/>
  <c r="Q19" i="6"/>
  <c r="L19" i="6"/>
  <c r="L87" i="6"/>
  <c r="Q87" i="6"/>
  <c r="S87" i="6" s="1"/>
  <c r="M199" i="5"/>
  <c r="R292" i="5"/>
  <c r="T292" i="5" s="1"/>
  <c r="V292" i="5" s="1"/>
  <c r="W292" i="5" s="1"/>
  <c r="R295" i="5"/>
  <c r="T295" i="5" s="1"/>
  <c r="V295" i="5" s="1"/>
  <c r="W295" i="5" s="1"/>
  <c r="R253" i="5"/>
  <c r="T253" i="5" s="1"/>
  <c r="V253" i="5" s="1"/>
  <c r="W253" i="5" s="1"/>
  <c r="R293" i="5"/>
  <c r="T293" i="5" s="1"/>
  <c r="V293" i="5" s="1"/>
  <c r="W293" i="5" s="1"/>
  <c r="R257" i="5"/>
  <c r="T257" i="5" s="1"/>
  <c r="V257" i="5" s="1"/>
  <c r="W257" i="5" s="1"/>
  <c r="R259" i="5"/>
  <c r="T259" i="5" s="1"/>
  <c r="V259" i="5" s="1"/>
  <c r="W259" i="5" s="1"/>
  <c r="R183" i="5"/>
  <c r="R193" i="5"/>
  <c r="R263" i="5"/>
  <c r="T263" i="5" s="1"/>
  <c r="V263" i="5" s="1"/>
  <c r="W263" i="5" s="1"/>
  <c r="R291" i="5"/>
  <c r="T291" i="5" s="1"/>
  <c r="V291" i="5" s="1"/>
  <c r="W291" i="5" s="1"/>
  <c r="R210" i="5"/>
  <c r="T210" i="5" s="1"/>
  <c r="V210" i="5" s="1"/>
  <c r="W210" i="5" s="1"/>
  <c r="R246" i="5"/>
  <c r="R250" i="5"/>
  <c r="T250" i="5" s="1"/>
  <c r="V250" i="5" s="1"/>
  <c r="W250" i="5" s="1"/>
  <c r="L134" i="6"/>
  <c r="L135" i="6" s="1"/>
  <c r="Q134" i="6"/>
  <c r="R47" i="5"/>
  <c r="T47" i="5" s="1"/>
  <c r="M47" i="5"/>
  <c r="I94" i="5" s="1"/>
  <c r="M201" i="5"/>
  <c r="R201" i="5"/>
  <c r="T201" i="5" s="1"/>
  <c r="R49" i="5"/>
  <c r="M49" i="5"/>
  <c r="L134" i="11"/>
  <c r="Q134" i="11"/>
  <c r="L100" i="11"/>
  <c r="Q100" i="11"/>
  <c r="R214" i="5"/>
  <c r="T214" i="5" s="1"/>
  <c r="V214" i="5" s="1"/>
  <c r="W214" i="5" s="1"/>
  <c r="R45" i="5"/>
  <c r="T45" i="5" s="1"/>
  <c r="Q88" i="11"/>
  <c r="S88" i="11" s="1"/>
  <c r="U88" i="11" s="1"/>
  <c r="V88" i="11" s="1"/>
  <c r="L95" i="11" l="1"/>
  <c r="M129" i="5"/>
  <c r="M95" i="5"/>
  <c r="L20" i="11"/>
  <c r="I95" i="5"/>
  <c r="M350" i="5"/>
  <c r="L89" i="6"/>
  <c r="L82" i="6"/>
  <c r="M24" i="5"/>
  <c r="L89" i="11"/>
  <c r="S134" i="11"/>
  <c r="S74" i="6"/>
  <c r="U74" i="6" s="1"/>
  <c r="V74" i="6" s="1"/>
  <c r="T20" i="5"/>
  <c r="V20" i="5" s="1"/>
  <c r="W20" i="5" s="1"/>
  <c r="S26" i="4"/>
  <c r="U26" i="4" s="1"/>
  <c r="V26" i="4" s="1"/>
  <c r="T307" i="5"/>
  <c r="V307" i="5" s="1"/>
  <c r="W307" i="5" s="1"/>
  <c r="S19" i="11"/>
  <c r="U19" i="11" s="1"/>
  <c r="V19" i="11" s="1"/>
  <c r="M80" i="39"/>
  <c r="S80" i="6"/>
  <c r="U80" i="6" s="1"/>
  <c r="V80" i="6" s="1"/>
  <c r="S23" i="6"/>
  <c r="U23" i="6" s="1"/>
  <c r="V23" i="6" s="1"/>
  <c r="L30" i="39"/>
  <c r="D18" i="39"/>
  <c r="L18" i="39" s="1"/>
  <c r="M18" i="39" s="1"/>
  <c r="Y18" i="39" s="1"/>
  <c r="D22" i="39"/>
  <c r="L22" i="39" s="1"/>
  <c r="M22" i="39" s="1"/>
  <c r="Y22" i="39" s="1"/>
  <c r="D14" i="39"/>
  <c r="L14" i="39" s="1"/>
  <c r="M14" i="39" s="1"/>
  <c r="Y14" i="39" s="1"/>
  <c r="L27" i="11"/>
  <c r="L75" i="6"/>
  <c r="S128" i="6"/>
  <c r="U128" i="6" s="1"/>
  <c r="V128" i="6" s="1"/>
  <c r="S25" i="11"/>
  <c r="U25" i="11" s="1"/>
  <c r="V25" i="11" s="1"/>
  <c r="M86" i="39"/>
  <c r="T74" i="5"/>
  <c r="V74" i="5" s="1"/>
  <c r="W74" i="5" s="1"/>
  <c r="S99" i="6"/>
  <c r="U99" i="6" s="1"/>
  <c r="V99" i="6" s="1"/>
  <c r="S41" i="11"/>
  <c r="U41" i="11" s="1"/>
  <c r="V41" i="11" s="1"/>
  <c r="S29" i="3"/>
  <c r="U29" i="3" s="1"/>
  <c r="V29" i="3" s="1"/>
  <c r="T22" i="5"/>
  <c r="V22" i="5" s="1"/>
  <c r="W22" i="5" s="1"/>
  <c r="T19" i="5"/>
  <c r="V19" i="5" s="1"/>
  <c r="W19" i="5" s="1"/>
  <c r="S28" i="4"/>
  <c r="U28" i="4" s="1"/>
  <c r="V28" i="4" s="1"/>
  <c r="T309" i="5"/>
  <c r="V309" i="5" s="1"/>
  <c r="W309" i="5" s="1"/>
  <c r="T308" i="5"/>
  <c r="V308" i="5" s="1"/>
  <c r="W308" i="5" s="1"/>
  <c r="S98" i="6"/>
  <c r="U98" i="6" s="1"/>
  <c r="V98" i="6" s="1"/>
  <c r="S41" i="6"/>
  <c r="U41" i="6" s="1"/>
  <c r="V41" i="6" s="1"/>
  <c r="E339" i="14"/>
  <c r="G339" i="14" s="1"/>
  <c r="T185" i="5"/>
  <c r="V185" i="5" s="1"/>
  <c r="W185" i="5" s="1"/>
  <c r="S23" i="11"/>
  <c r="U23" i="11" s="1"/>
  <c r="V23" i="11" s="1"/>
  <c r="L84" i="39"/>
  <c r="T33" i="5"/>
  <c r="V33" i="5" s="1"/>
  <c r="W33" i="5" s="1"/>
  <c r="N140" i="38"/>
  <c r="T132" i="5"/>
  <c r="V132" i="5" s="1"/>
  <c r="W132" i="5" s="1"/>
  <c r="P138" i="38"/>
  <c r="S20" i="3"/>
  <c r="U20" i="3" s="1"/>
  <c r="V20" i="3" s="1"/>
  <c r="T252" i="5"/>
  <c r="V252" i="5" s="1"/>
  <c r="W252" i="5" s="1"/>
  <c r="S133" i="6"/>
  <c r="U133" i="6" s="1"/>
  <c r="V133" i="6" s="1"/>
  <c r="T127" i="5"/>
  <c r="V127" i="5" s="1"/>
  <c r="W127" i="5" s="1"/>
  <c r="S18" i="11"/>
  <c r="U18" i="11" s="1"/>
  <c r="V18" i="11" s="1"/>
  <c r="L80" i="39"/>
  <c r="T145" i="5"/>
  <c r="V145" i="5" s="1"/>
  <c r="W145" i="5" s="1"/>
  <c r="T27" i="5"/>
  <c r="V27" i="5" s="1"/>
  <c r="W27" i="5" s="1"/>
  <c r="M138" i="38"/>
  <c r="T82" i="5"/>
  <c r="V82" i="5" s="1"/>
  <c r="W82" i="5" s="1"/>
  <c r="T150" i="5"/>
  <c r="T153" i="5" s="1"/>
  <c r="V153" i="5" s="1"/>
  <c r="W153" i="5" s="1"/>
  <c r="S19" i="3"/>
  <c r="U19" i="3" s="1"/>
  <c r="V19" i="3" s="1"/>
  <c r="I36" i="38"/>
  <c r="D74" i="38"/>
  <c r="L74" i="38" s="1"/>
  <c r="M74" i="38" s="1"/>
  <c r="Y74" i="38" s="1"/>
  <c r="D82" i="38"/>
  <c r="L82" i="38" s="1"/>
  <c r="M82" i="38" s="1"/>
  <c r="Y82" i="38" s="1"/>
  <c r="D68" i="38"/>
  <c r="D64" i="38"/>
  <c r="L64" i="38" s="1"/>
  <c r="M64" i="38" s="1"/>
  <c r="D78" i="38"/>
  <c r="L78" i="38" s="1"/>
  <c r="M78" i="38" s="1"/>
  <c r="Y78" i="38" s="1"/>
  <c r="D66" i="38"/>
  <c r="L66" i="38" s="1"/>
  <c r="M66" i="38" s="1"/>
  <c r="Y66" i="38" s="1"/>
  <c r="D72" i="38"/>
  <c r="L72" i="38" s="1"/>
  <c r="M72" i="38" s="1"/>
  <c r="Y72" i="38" s="1"/>
  <c r="D84" i="38"/>
  <c r="D76" i="38"/>
  <c r="L76" i="38" s="1"/>
  <c r="M76" i="38" s="1"/>
  <c r="Y76" i="38" s="1"/>
  <c r="D70" i="38"/>
  <c r="D80" i="38"/>
  <c r="D86" i="38"/>
  <c r="L86" i="38" s="1"/>
  <c r="M86" i="38" s="1"/>
  <c r="Y86" i="38" s="1"/>
  <c r="T36" i="5"/>
  <c r="V36" i="5" s="1"/>
  <c r="W36" i="5" s="1"/>
  <c r="N141" i="38"/>
  <c r="D20" i="38"/>
  <c r="L20" i="38" s="1"/>
  <c r="M20" i="38" s="1"/>
  <c r="Y20" i="38" s="1"/>
  <c r="D18" i="38"/>
  <c r="L18" i="38" s="1"/>
  <c r="M18" i="38" s="1"/>
  <c r="Y18" i="38" s="1"/>
  <c r="D12" i="38"/>
  <c r="L12" i="38" s="1"/>
  <c r="M12" i="38" s="1"/>
  <c r="D14" i="38"/>
  <c r="L14" i="38" s="1"/>
  <c r="M14" i="38" s="1"/>
  <c r="Y14" i="38" s="1"/>
  <c r="D22" i="38"/>
  <c r="D16" i="38"/>
  <c r="L16" i="38" s="1"/>
  <c r="M16" i="38" s="1"/>
  <c r="Y16" i="38" s="1"/>
  <c r="S133" i="11"/>
  <c r="U133" i="11" s="1"/>
  <c r="V133" i="11" s="1"/>
  <c r="T183" i="5"/>
  <c r="V183" i="5" s="1"/>
  <c r="W183" i="5" s="1"/>
  <c r="S27" i="4"/>
  <c r="U27" i="4" s="1"/>
  <c r="V27" i="4" s="1"/>
  <c r="S99" i="11"/>
  <c r="U99" i="11" s="1"/>
  <c r="V99" i="11" s="1"/>
  <c r="S78" i="6"/>
  <c r="U78" i="6" s="1"/>
  <c r="V78" i="6" s="1"/>
  <c r="S30" i="6"/>
  <c r="U30" i="6" s="1"/>
  <c r="V30" i="6" s="1"/>
  <c r="L27" i="39"/>
  <c r="E341" i="14"/>
  <c r="G341" i="14" s="1"/>
  <c r="T30" i="5"/>
  <c r="V30" i="5" s="1"/>
  <c r="W30" i="5" s="1"/>
  <c r="N139" i="38"/>
  <c r="S73" i="4"/>
  <c r="S79" i="11"/>
  <c r="U79" i="11" s="1"/>
  <c r="V79" i="11" s="1"/>
  <c r="S92" i="6"/>
  <c r="U92" i="6" s="1"/>
  <c r="V92" i="6" s="1"/>
  <c r="S100" i="11"/>
  <c r="U100" i="11" s="1"/>
  <c r="V100" i="11" s="1"/>
  <c r="M94" i="5"/>
  <c r="L20" i="6"/>
  <c r="T313" i="5"/>
  <c r="S45" i="11"/>
  <c r="S47" i="11" s="1"/>
  <c r="U47" i="11" s="1"/>
  <c r="V47" i="11" s="1"/>
  <c r="S85" i="11"/>
  <c r="U85" i="11" s="1"/>
  <c r="V85" i="11" s="1"/>
  <c r="S74" i="11"/>
  <c r="U74" i="11" s="1"/>
  <c r="V74" i="11" s="1"/>
  <c r="S24" i="6"/>
  <c r="U24" i="6" s="1"/>
  <c r="V24" i="6" s="1"/>
  <c r="M31" i="39"/>
  <c r="S79" i="6"/>
  <c r="T184" i="5"/>
  <c r="V184" i="5" s="1"/>
  <c r="W184" i="5" s="1"/>
  <c r="S32" i="6"/>
  <c r="U32" i="6" s="1"/>
  <c r="V32" i="6" s="1"/>
  <c r="M29" i="39"/>
  <c r="L31" i="4"/>
  <c r="S94" i="11"/>
  <c r="S31" i="6"/>
  <c r="U31" i="6" s="1"/>
  <c r="V31" i="6" s="1"/>
  <c r="M28" i="39"/>
  <c r="T75" i="5"/>
  <c r="P93" i="5" s="1"/>
  <c r="T93" i="5" s="1"/>
  <c r="S77" i="4"/>
  <c r="S78" i="4" s="1"/>
  <c r="T18" i="5"/>
  <c r="V18" i="5" s="1"/>
  <c r="W18" i="5" s="1"/>
  <c r="M134" i="38"/>
  <c r="S32" i="11"/>
  <c r="U32" i="11" s="1"/>
  <c r="V32" i="11" s="1"/>
  <c r="M83" i="39"/>
  <c r="S107" i="6"/>
  <c r="S109" i="6" s="1"/>
  <c r="U109" i="6" s="1"/>
  <c r="V109" i="6" s="1"/>
  <c r="S93" i="11"/>
  <c r="U93" i="11" s="1"/>
  <c r="V93" i="11" s="1"/>
  <c r="S24" i="11"/>
  <c r="U24" i="11" s="1"/>
  <c r="V24" i="11" s="1"/>
  <c r="M85" i="39"/>
  <c r="S36" i="6"/>
  <c r="S38" i="6" s="1"/>
  <c r="U38" i="6" s="1"/>
  <c r="V38" i="6" s="1"/>
  <c r="T314" i="5"/>
  <c r="V314" i="5" s="1"/>
  <c r="W314" i="5" s="1"/>
  <c r="S34" i="4"/>
  <c r="U34" i="4" s="1"/>
  <c r="V34" i="4" s="1"/>
  <c r="S86" i="6"/>
  <c r="U86" i="6" s="1"/>
  <c r="V86" i="6" s="1"/>
  <c r="S25" i="6"/>
  <c r="U25" i="6" s="1"/>
  <c r="V25" i="6" s="1"/>
  <c r="M32" i="39"/>
  <c r="T239" i="5"/>
  <c r="V239" i="5" s="1"/>
  <c r="W239" i="5" s="1"/>
  <c r="S18" i="6"/>
  <c r="U18" i="6" s="1"/>
  <c r="V18" i="6" s="1"/>
  <c r="L26" i="39"/>
  <c r="S81" i="11"/>
  <c r="U81" i="11" s="1"/>
  <c r="V81" i="11" s="1"/>
  <c r="T310" i="5"/>
  <c r="V310" i="5" s="1"/>
  <c r="W310" i="5" s="1"/>
  <c r="T138" i="5"/>
  <c r="V138" i="5" s="1"/>
  <c r="W138" i="5" s="1"/>
  <c r="S26" i="6"/>
  <c r="U26" i="6" s="1"/>
  <c r="V26" i="6" s="1"/>
  <c r="M33" i="39"/>
  <c r="S80" i="11"/>
  <c r="U80" i="11" s="1"/>
  <c r="V80" i="11" s="1"/>
  <c r="T46" i="5"/>
  <c r="V46" i="5" s="1"/>
  <c r="W46" i="5" s="1"/>
  <c r="N136" i="38"/>
  <c r="S100" i="6"/>
  <c r="U100" i="6" s="1"/>
  <c r="V100" i="6" s="1"/>
  <c r="D116" i="38"/>
  <c r="L116" i="38" s="1"/>
  <c r="M116" i="38" s="1"/>
  <c r="Y116" i="38" s="1"/>
  <c r="D126" i="38"/>
  <c r="L126" i="38" s="1"/>
  <c r="M126" i="38" s="1"/>
  <c r="Y126" i="38" s="1"/>
  <c r="D121" i="38"/>
  <c r="S73" i="11"/>
  <c r="U73" i="11" s="1"/>
  <c r="V73" i="11" s="1"/>
  <c r="S45" i="6"/>
  <c r="T43" i="5"/>
  <c r="V43" i="5" s="1"/>
  <c r="W43" i="5" s="1"/>
  <c r="M135" i="38"/>
  <c r="S19" i="4"/>
  <c r="U19" i="4" s="1"/>
  <c r="V19" i="4" s="1"/>
  <c r="I90" i="38"/>
  <c r="S134" i="6"/>
  <c r="U134" i="6" s="1"/>
  <c r="V134" i="6" s="1"/>
  <c r="T21" i="5"/>
  <c r="V21" i="5" s="1"/>
  <c r="W21" i="5" s="1"/>
  <c r="N134" i="38"/>
  <c r="T316" i="5"/>
  <c r="S28" i="3"/>
  <c r="U28" i="3" s="1"/>
  <c r="V28" i="3" s="1"/>
  <c r="I40" i="38"/>
  <c r="T128" i="5"/>
  <c r="V128" i="5" s="1"/>
  <c r="W128" i="5" s="1"/>
  <c r="S94" i="6"/>
  <c r="U94" i="6" s="1"/>
  <c r="V94" i="6" s="1"/>
  <c r="T144" i="5"/>
  <c r="V144" i="5" s="1"/>
  <c r="W144" i="5" s="1"/>
  <c r="S98" i="11"/>
  <c r="U98" i="11" s="1"/>
  <c r="V98" i="11" s="1"/>
  <c r="T182" i="5"/>
  <c r="V182" i="5" s="1"/>
  <c r="W182" i="5" s="1"/>
  <c r="D72" i="39"/>
  <c r="D76" i="39"/>
  <c r="L76" i="39" s="1"/>
  <c r="M76" i="39" s="1"/>
  <c r="Y76" i="39" s="1"/>
  <c r="D68" i="39"/>
  <c r="L68" i="39" s="1"/>
  <c r="M68" i="39" s="1"/>
  <c r="Y68" i="39" s="1"/>
  <c r="D74" i="39"/>
  <c r="L74" i="39" s="1"/>
  <c r="M74" i="39" s="1"/>
  <c r="Y74" i="39" s="1"/>
  <c r="D71" i="39"/>
  <c r="L71" i="39" s="1"/>
  <c r="M71" i="39" s="1"/>
  <c r="Y71" i="39" s="1"/>
  <c r="D70" i="39"/>
  <c r="L70" i="39" s="1"/>
  <c r="M70" i="39" s="1"/>
  <c r="Y70" i="39" s="1"/>
  <c r="D66" i="39"/>
  <c r="L66" i="39" s="1"/>
  <c r="M66" i="39" s="1"/>
  <c r="Y66" i="39" s="1"/>
  <c r="D67" i="39"/>
  <c r="D75" i="39"/>
  <c r="L75" i="39" s="1"/>
  <c r="M75" i="39" s="1"/>
  <c r="Y75" i="39" s="1"/>
  <c r="T344" i="5"/>
  <c r="T350" i="5" s="1"/>
  <c r="V350" i="5" s="1"/>
  <c r="W350" i="5" s="1"/>
  <c r="L135" i="11"/>
  <c r="T49" i="5"/>
  <c r="V49" i="5" s="1"/>
  <c r="W49" i="5" s="1"/>
  <c r="N137" i="38"/>
  <c r="T246" i="5"/>
  <c r="V246" i="5" s="1"/>
  <c r="W246" i="5" s="1"/>
  <c r="T193" i="5"/>
  <c r="V193" i="5" s="1"/>
  <c r="W193" i="5" s="1"/>
  <c r="S19" i="6"/>
  <c r="U19" i="6" s="1"/>
  <c r="V19" i="6" s="1"/>
  <c r="M26" i="39"/>
  <c r="L75" i="11"/>
  <c r="T186" i="5"/>
  <c r="V186" i="5" s="1"/>
  <c r="W186" i="5" s="1"/>
  <c r="T196" i="5"/>
  <c r="V196" i="5" s="1"/>
  <c r="W196" i="5" s="1"/>
  <c r="S78" i="11"/>
  <c r="U78" i="11" s="1"/>
  <c r="V78" i="11" s="1"/>
  <c r="S36" i="11"/>
  <c r="U36" i="11" s="1"/>
  <c r="V36" i="11" s="1"/>
  <c r="S73" i="6"/>
  <c r="U73" i="6" s="1"/>
  <c r="V73" i="6" s="1"/>
  <c r="T76" i="5"/>
  <c r="P94" i="5" s="1"/>
  <c r="T94" i="5" s="1"/>
  <c r="S31" i="11"/>
  <c r="U31" i="11" s="1"/>
  <c r="V31" i="11" s="1"/>
  <c r="M82" i="39"/>
  <c r="T315" i="5"/>
  <c r="V315" i="5" s="1"/>
  <c r="W315" i="5" s="1"/>
  <c r="L22" i="4"/>
  <c r="T85" i="5"/>
  <c r="T23" i="5"/>
  <c r="V23" i="5" s="1"/>
  <c r="W23" i="5" s="1"/>
  <c r="S26" i="11"/>
  <c r="U26" i="11" s="1"/>
  <c r="V26" i="11" s="1"/>
  <c r="M87" i="39"/>
  <c r="T249" i="5"/>
  <c r="V249" i="5" s="1"/>
  <c r="W249" i="5" s="1"/>
  <c r="S27" i="3"/>
  <c r="U27" i="3" s="1"/>
  <c r="V27" i="3" s="1"/>
  <c r="I39" i="38"/>
  <c r="T290" i="5"/>
  <c r="V290" i="5" s="1"/>
  <c r="W290" i="5" s="1"/>
  <c r="T77" i="5"/>
  <c r="V77" i="5" s="1"/>
  <c r="W77" i="5" s="1"/>
  <c r="V344" i="5"/>
  <c r="W344" i="5" s="1"/>
  <c r="S85" i="6"/>
  <c r="U85" i="6" s="1"/>
  <c r="V85" i="6" s="1"/>
  <c r="T190" i="5"/>
  <c r="V190" i="5" s="1"/>
  <c r="W190" i="5" s="1"/>
  <c r="T181" i="5"/>
  <c r="V181" i="5" s="1"/>
  <c r="W181" i="5" s="1"/>
  <c r="S21" i="4"/>
  <c r="U21" i="4" s="1"/>
  <c r="V21" i="4" s="1"/>
  <c r="T126" i="5"/>
  <c r="V126" i="5" s="1"/>
  <c r="W126" i="5" s="1"/>
  <c r="P134" i="38"/>
  <c r="S92" i="11"/>
  <c r="U92" i="11" s="1"/>
  <c r="V92" i="11" s="1"/>
  <c r="S20" i="4"/>
  <c r="U20" i="4" s="1"/>
  <c r="V20" i="4" s="1"/>
  <c r="T236" i="5"/>
  <c r="V236" i="5" s="1"/>
  <c r="W236" i="5" s="1"/>
  <c r="S30" i="11"/>
  <c r="U30" i="11" s="1"/>
  <c r="V30" i="11" s="1"/>
  <c r="L81" i="39"/>
  <c r="S93" i="6"/>
  <c r="U93" i="6" s="1"/>
  <c r="V93" i="6" s="1"/>
  <c r="T242" i="5"/>
  <c r="V242" i="5" s="1"/>
  <c r="W242" i="5" s="1"/>
  <c r="S29" i="4"/>
  <c r="U29" i="4" s="1"/>
  <c r="V29" i="4" s="1"/>
  <c r="T205" i="5"/>
  <c r="V205" i="5" s="1"/>
  <c r="W205" i="5" s="1"/>
  <c r="D28" i="38"/>
  <c r="L28" i="38" s="1"/>
  <c r="M28" i="38" s="1"/>
  <c r="Y28" i="38" s="1"/>
  <c r="D30" i="38"/>
  <c r="L30" i="38" s="1"/>
  <c r="M30" i="38" s="1"/>
  <c r="Y30" i="38" s="1"/>
  <c r="D26" i="38"/>
  <c r="L26" i="38" s="1"/>
  <c r="M26" i="38" s="1"/>
  <c r="Y26" i="38" s="1"/>
  <c r="D32" i="38"/>
  <c r="D24" i="38"/>
  <c r="L24" i="38" s="1"/>
  <c r="M24" i="38" s="1"/>
  <c r="Y24" i="38" s="1"/>
  <c r="D124" i="38"/>
  <c r="L124" i="38" s="1"/>
  <c r="M124" i="38" s="1"/>
  <c r="Y124" i="38" s="1"/>
  <c r="D129" i="38"/>
  <c r="L129" i="38" s="1"/>
  <c r="M129" i="38" s="1"/>
  <c r="Y129" i="38" s="1"/>
  <c r="D119" i="38"/>
  <c r="L119" i="38" s="1"/>
  <c r="M119" i="38" s="1"/>
  <c r="Y119" i="38" s="1"/>
  <c r="T298" i="5"/>
  <c r="T304" i="5" s="1"/>
  <c r="D122" i="38"/>
  <c r="L122" i="38" s="1"/>
  <c r="M122" i="38" s="1"/>
  <c r="Y122" i="38" s="1"/>
  <c r="D127" i="38"/>
  <c r="D118" i="38"/>
  <c r="L118" i="38" s="1"/>
  <c r="M118" i="38" s="1"/>
  <c r="Y118" i="38" s="1"/>
  <c r="D128" i="38"/>
  <c r="D123" i="38"/>
  <c r="D117" i="38"/>
  <c r="L117" i="38" s="1"/>
  <c r="M117" i="38" s="1"/>
  <c r="Y117" i="38" s="1"/>
  <c r="T199" i="5"/>
  <c r="V199" i="5" s="1"/>
  <c r="W199" i="5" s="1"/>
  <c r="D20" i="39"/>
  <c r="L20" i="39" s="1"/>
  <c r="M20" i="39" s="1"/>
  <c r="Y20" i="39" s="1"/>
  <c r="D12" i="39"/>
  <c r="L12" i="39" s="1"/>
  <c r="M12" i="39" s="1"/>
  <c r="Y12" i="39" s="1"/>
  <c r="D16" i="39"/>
  <c r="L16" i="39" s="1"/>
  <c r="M16" i="39" s="1"/>
  <c r="Y16" i="39" s="1"/>
  <c r="D17" i="39"/>
  <c r="L17" i="39" s="1"/>
  <c r="M17" i="39" s="1"/>
  <c r="Y17" i="39" s="1"/>
  <c r="D21" i="39"/>
  <c r="D13" i="39"/>
  <c r="L13" i="39" s="1"/>
  <c r="M13" i="39" s="1"/>
  <c r="Y13" i="39" s="1"/>
  <c r="S25" i="4"/>
  <c r="U25" i="4" s="1"/>
  <c r="V25" i="4" s="1"/>
  <c r="I92" i="38"/>
  <c r="L33" i="11"/>
  <c r="V86" i="5"/>
  <c r="W86" i="5" s="1"/>
  <c r="L104" i="6"/>
  <c r="G57" i="13"/>
  <c r="L27" i="6"/>
  <c r="V209" i="5"/>
  <c r="W209" i="5" s="1"/>
  <c r="M40" i="5"/>
  <c r="V241" i="5"/>
  <c r="W241" i="5" s="1"/>
  <c r="V345" i="5"/>
  <c r="W345" i="5" s="1"/>
  <c r="U134" i="11"/>
  <c r="V134" i="11" s="1"/>
  <c r="V201" i="5"/>
  <c r="W201" i="5" s="1"/>
  <c r="S109" i="11"/>
  <c r="U109" i="11" s="1"/>
  <c r="V109" i="11" s="1"/>
  <c r="S20" i="7"/>
  <c r="U20" i="7" s="1"/>
  <c r="V20" i="7" s="1"/>
  <c r="M217" i="5"/>
  <c r="I356" i="5"/>
  <c r="M356" i="5" s="1"/>
  <c r="L95" i="6"/>
  <c r="I92" i="5"/>
  <c r="M92" i="5" s="1"/>
  <c r="V256" i="5"/>
  <c r="W256" i="5" s="1"/>
  <c r="U101" i="6"/>
  <c r="V101" i="6" s="1"/>
  <c r="L38" i="11"/>
  <c r="M264" i="5"/>
  <c r="I353" i="5"/>
  <c r="M353" i="5" s="1"/>
  <c r="V134" i="5"/>
  <c r="W134" i="5" s="1"/>
  <c r="M78" i="5"/>
  <c r="U86" i="11"/>
  <c r="V86" i="11" s="1"/>
  <c r="V294" i="5"/>
  <c r="W294" i="5" s="1"/>
  <c r="V303" i="5"/>
  <c r="W303" i="5" s="1"/>
  <c r="S18" i="7"/>
  <c r="U87" i="6"/>
  <c r="V87" i="6" s="1"/>
  <c r="M187" i="5"/>
  <c r="L33" i="6"/>
  <c r="M88" i="5"/>
  <c r="L47" i="6"/>
  <c r="G47" i="13"/>
  <c r="I354" i="5"/>
  <c r="M354" i="5" s="1"/>
  <c r="V207" i="5"/>
  <c r="W207" i="5" s="1"/>
  <c r="L104" i="11"/>
  <c r="V261" i="5"/>
  <c r="W261" i="5" s="1"/>
  <c r="V300" i="5"/>
  <c r="W300" i="5" s="1"/>
  <c r="M317" i="5"/>
  <c r="V133" i="5"/>
  <c r="W133" i="5" s="1"/>
  <c r="M157" i="5"/>
  <c r="M159" i="5" s="1"/>
  <c r="I159" i="5"/>
  <c r="V47" i="5"/>
  <c r="W47" i="5" s="1"/>
  <c r="M202" i="5"/>
  <c r="I355" i="5"/>
  <c r="M355" i="5" s="1"/>
  <c r="V29" i="5"/>
  <c r="W29" i="5" s="1"/>
  <c r="S130" i="11"/>
  <c r="U130" i="11" s="1"/>
  <c r="V130" i="11" s="1"/>
  <c r="U128" i="11"/>
  <c r="V128" i="11" s="1"/>
  <c r="V45" i="5"/>
  <c r="W45" i="5" s="1"/>
  <c r="M52" i="5"/>
  <c r="I93" i="5"/>
  <c r="V262" i="5"/>
  <c r="W262" i="5" s="1"/>
  <c r="M304" i="5"/>
  <c r="V32" i="5"/>
  <c r="W32" i="5" s="1"/>
  <c r="V28" i="5"/>
  <c r="W28" i="5" s="1"/>
  <c r="P92" i="5"/>
  <c r="V346" i="5"/>
  <c r="W346" i="5" s="1"/>
  <c r="U37" i="11"/>
  <c r="V37" i="11" s="1"/>
  <c r="V258" i="5"/>
  <c r="W258" i="5" s="1"/>
  <c r="L41" i="4"/>
  <c r="G17" i="13" s="1"/>
  <c r="V211" i="5"/>
  <c r="W211" i="5" s="1"/>
  <c r="M135" i="5"/>
  <c r="L50" i="11" l="1"/>
  <c r="G22" i="13" s="1"/>
  <c r="V94" i="5"/>
  <c r="W94" i="5" s="1"/>
  <c r="V150" i="5"/>
  <c r="W150" i="5" s="1"/>
  <c r="L144" i="6"/>
  <c r="G24" i="13" s="1"/>
  <c r="S130" i="6"/>
  <c r="U130" i="6" s="1"/>
  <c r="V130" i="6" s="1"/>
  <c r="U77" i="4"/>
  <c r="V77" i="4" s="1"/>
  <c r="S36" i="4"/>
  <c r="U36" i="4" s="1"/>
  <c r="V36" i="4" s="1"/>
  <c r="P158" i="5"/>
  <c r="T158" i="5" s="1"/>
  <c r="V158" i="5" s="1"/>
  <c r="W158" i="5" s="1"/>
  <c r="S135" i="11"/>
  <c r="U135" i="11" s="1"/>
  <c r="V135" i="11" s="1"/>
  <c r="S89" i="11"/>
  <c r="U89" i="11" s="1"/>
  <c r="V89" i="11" s="1"/>
  <c r="S20" i="11"/>
  <c r="U20" i="11" s="1"/>
  <c r="V20" i="11" s="1"/>
  <c r="S75" i="11"/>
  <c r="U75" i="11" s="1"/>
  <c r="V75" i="11" s="1"/>
  <c r="S82" i="11"/>
  <c r="U82" i="11" s="1"/>
  <c r="V82" i="11" s="1"/>
  <c r="U45" i="11"/>
  <c r="V45" i="11" s="1"/>
  <c r="S82" i="6"/>
  <c r="U82" i="6" s="1"/>
  <c r="V82" i="6" s="1"/>
  <c r="U36" i="6"/>
  <c r="V36" i="6" s="1"/>
  <c r="S75" i="6"/>
  <c r="U75" i="6" s="1"/>
  <c r="V75" i="6" s="1"/>
  <c r="S135" i="6"/>
  <c r="U135" i="6" s="1"/>
  <c r="V135" i="6" s="1"/>
  <c r="S27" i="6"/>
  <c r="U27" i="6" s="1"/>
  <c r="V27" i="6" s="1"/>
  <c r="S89" i="6"/>
  <c r="U89" i="6" s="1"/>
  <c r="V89" i="6" s="1"/>
  <c r="S104" i="6"/>
  <c r="U104" i="6" s="1"/>
  <c r="V104" i="6" s="1"/>
  <c r="U107" i="6"/>
  <c r="V107" i="6" s="1"/>
  <c r="S43" i="6"/>
  <c r="U43" i="6" s="1"/>
  <c r="V43" i="6" s="1"/>
  <c r="P356" i="5"/>
  <c r="T356" i="5" s="1"/>
  <c r="V356" i="5" s="1"/>
  <c r="W356" i="5" s="1"/>
  <c r="T135" i="5"/>
  <c r="V135" i="5" s="1"/>
  <c r="W135" i="5" s="1"/>
  <c r="T296" i="5"/>
  <c r="V296" i="5" s="1"/>
  <c r="W296" i="5" s="1"/>
  <c r="V76" i="5"/>
  <c r="W76" i="5" s="1"/>
  <c r="T146" i="5"/>
  <c r="V146" i="5" s="1"/>
  <c r="W146" i="5" s="1"/>
  <c r="T78" i="5"/>
  <c r="V78" i="5" s="1"/>
  <c r="W78" i="5" s="1"/>
  <c r="P157" i="5"/>
  <c r="T157" i="5" s="1"/>
  <c r="T187" i="5"/>
  <c r="V187" i="5" s="1"/>
  <c r="W187" i="5" s="1"/>
  <c r="P354" i="5"/>
  <c r="T354" i="5" s="1"/>
  <c r="V354" i="5" s="1"/>
  <c r="W354" i="5" s="1"/>
  <c r="P355" i="5"/>
  <c r="T355" i="5" s="1"/>
  <c r="V355" i="5" s="1"/>
  <c r="W355" i="5" s="1"/>
  <c r="V298" i="5"/>
  <c r="W298" i="5" s="1"/>
  <c r="T141" i="5"/>
  <c r="V141" i="5" s="1"/>
  <c r="W141" i="5" s="1"/>
  <c r="V75" i="5"/>
  <c r="W75" i="5" s="1"/>
  <c r="T24" i="5"/>
  <c r="V24" i="5" s="1"/>
  <c r="W24" i="5" s="1"/>
  <c r="V316" i="5"/>
  <c r="W316" i="5" s="1"/>
  <c r="P95" i="5"/>
  <c r="T95" i="5" s="1"/>
  <c r="V95" i="5" s="1"/>
  <c r="W95" i="5" s="1"/>
  <c r="T88" i="5"/>
  <c r="V88" i="5" s="1"/>
  <c r="W88" i="5" s="1"/>
  <c r="S31" i="4"/>
  <c r="U31" i="4" s="1"/>
  <c r="V31" i="4" s="1"/>
  <c r="S22" i="4"/>
  <c r="S31" i="3"/>
  <c r="U31" i="3" s="1"/>
  <c r="V31" i="3" s="1"/>
  <c r="T52" i="5"/>
  <c r="V52" i="5" s="1"/>
  <c r="W52" i="5" s="1"/>
  <c r="S95" i="11"/>
  <c r="U95" i="11" s="1"/>
  <c r="V95" i="11" s="1"/>
  <c r="S33" i="6"/>
  <c r="U33" i="6" s="1"/>
  <c r="V33" i="6" s="1"/>
  <c r="T317" i="5"/>
  <c r="V317" i="5" s="1"/>
  <c r="W317" i="5" s="1"/>
  <c r="N18" i="39"/>
  <c r="U18" i="39" s="1"/>
  <c r="V18" i="39" s="1"/>
  <c r="N14" i="39"/>
  <c r="U14" i="39" s="1"/>
  <c r="V14" i="39" s="1"/>
  <c r="N22" i="39"/>
  <c r="U22" i="39" s="1"/>
  <c r="V22" i="39" s="1"/>
  <c r="L72" i="39"/>
  <c r="M72" i="39" s="1"/>
  <c r="Y72" i="39" s="1"/>
  <c r="N24" i="38"/>
  <c r="U24" i="38" s="1"/>
  <c r="V24" i="38" s="1"/>
  <c r="N28" i="38"/>
  <c r="N30" i="38"/>
  <c r="U30" i="38" s="1"/>
  <c r="V30" i="38" s="1"/>
  <c r="N32" i="38"/>
  <c r="U32" i="38" s="1"/>
  <c r="V32" i="38" s="1"/>
  <c r="N26" i="38"/>
  <c r="U26" i="38" s="1"/>
  <c r="V26" i="38" s="1"/>
  <c r="U79" i="6"/>
  <c r="V79" i="6" s="1"/>
  <c r="P353" i="5"/>
  <c r="S43" i="11"/>
  <c r="U43" i="11" s="1"/>
  <c r="V43" i="11" s="1"/>
  <c r="S20" i="6"/>
  <c r="S95" i="6"/>
  <c r="U95" i="6" s="1"/>
  <c r="V95" i="6" s="1"/>
  <c r="T129" i="5"/>
  <c r="V129" i="5" s="1"/>
  <c r="W129" i="5" s="1"/>
  <c r="L128" i="38"/>
  <c r="M128" i="38" s="1"/>
  <c r="Y128" i="38" s="1"/>
  <c r="L32" i="38"/>
  <c r="M32" i="38" s="1"/>
  <c r="Y32" i="38" s="1"/>
  <c r="N116" i="38"/>
  <c r="U116" i="38" s="1"/>
  <c r="V116" i="38" s="1"/>
  <c r="N126" i="38"/>
  <c r="U126" i="38" s="1"/>
  <c r="V126" i="38" s="1"/>
  <c r="N121" i="38"/>
  <c r="U121" i="38" s="1"/>
  <c r="V121" i="38" s="1"/>
  <c r="N16" i="38"/>
  <c r="U16" i="38" s="1"/>
  <c r="V16" i="38" s="1"/>
  <c r="N12" i="38"/>
  <c r="N20" i="38"/>
  <c r="U20" i="38" s="1"/>
  <c r="V20" i="38" s="1"/>
  <c r="N18" i="38"/>
  <c r="U18" i="38" s="1"/>
  <c r="V18" i="38" s="1"/>
  <c r="N14" i="38"/>
  <c r="U14" i="38" s="1"/>
  <c r="V14" i="38" s="1"/>
  <c r="N22" i="38"/>
  <c r="U22" i="38" s="1"/>
  <c r="V22" i="38" s="1"/>
  <c r="N122" i="38"/>
  <c r="N128" i="38"/>
  <c r="U128" i="38" s="1"/>
  <c r="V128" i="38" s="1"/>
  <c r="N118" i="38"/>
  <c r="U118" i="38" s="1"/>
  <c r="V118" i="38" s="1"/>
  <c r="N127" i="38"/>
  <c r="U127" i="38" s="1"/>
  <c r="V127" i="38" s="1"/>
  <c r="N117" i="38"/>
  <c r="N123" i="38"/>
  <c r="U123" i="38" s="1"/>
  <c r="V123" i="38" s="1"/>
  <c r="L22" i="38"/>
  <c r="M22" i="38" s="1"/>
  <c r="Y22" i="38" s="1"/>
  <c r="L121" i="38"/>
  <c r="M121" i="38" s="1"/>
  <c r="Y121" i="38" s="1"/>
  <c r="N67" i="39"/>
  <c r="U67" i="39" s="1"/>
  <c r="V67" i="39" s="1"/>
  <c r="N74" i="39"/>
  <c r="U74" i="39" s="1"/>
  <c r="V74" i="39" s="1"/>
  <c r="N66" i="39"/>
  <c r="U66" i="39" s="1"/>
  <c r="V66" i="39" s="1"/>
  <c r="N75" i="39"/>
  <c r="U75" i="39" s="1"/>
  <c r="V75" i="39" s="1"/>
  <c r="N71" i="39"/>
  <c r="U71" i="39" s="1"/>
  <c r="V71" i="39" s="1"/>
  <c r="N70" i="39"/>
  <c r="N72" i="39"/>
  <c r="U72" i="39" s="1"/>
  <c r="V72" i="39" s="1"/>
  <c r="N68" i="39"/>
  <c r="U68" i="39" s="1"/>
  <c r="V68" i="39" s="1"/>
  <c r="N76" i="39"/>
  <c r="U76" i="39" s="1"/>
  <c r="V76" i="39" s="1"/>
  <c r="S27" i="11"/>
  <c r="U27" i="11" s="1"/>
  <c r="V27" i="11" s="1"/>
  <c r="V85" i="5"/>
  <c r="W85" i="5" s="1"/>
  <c r="S104" i="11"/>
  <c r="U104" i="11" s="1"/>
  <c r="V104" i="11" s="1"/>
  <c r="S38" i="11"/>
  <c r="U38" i="11" s="1"/>
  <c r="V38" i="11" s="1"/>
  <c r="V313" i="5"/>
  <c r="W313" i="5" s="1"/>
  <c r="U94" i="11"/>
  <c r="V94" i="11" s="1"/>
  <c r="T264" i="5"/>
  <c r="V264" i="5" s="1"/>
  <c r="W264" i="5" s="1"/>
  <c r="T40" i="5"/>
  <c r="V40" i="5" s="1"/>
  <c r="W40" i="5" s="1"/>
  <c r="S21" i="3"/>
  <c r="U21" i="3" s="1"/>
  <c r="V21" i="3" s="1"/>
  <c r="L21" i="39"/>
  <c r="M21" i="39" s="1"/>
  <c r="Y21" i="39" s="1"/>
  <c r="L67" i="39"/>
  <c r="M67" i="39" s="1"/>
  <c r="Y67" i="39" s="1"/>
  <c r="L84" i="38"/>
  <c r="M84" i="38" s="1"/>
  <c r="Y84" i="38" s="1"/>
  <c r="L123" i="38"/>
  <c r="M123" i="38" s="1"/>
  <c r="Y123" i="38" s="1"/>
  <c r="N119" i="38"/>
  <c r="U119" i="38" s="1"/>
  <c r="V119" i="38" s="1"/>
  <c r="N124" i="38"/>
  <c r="U124" i="38" s="1"/>
  <c r="V124" i="38" s="1"/>
  <c r="N129" i="38"/>
  <c r="U129" i="38" s="1"/>
  <c r="V129" i="38" s="1"/>
  <c r="L70" i="38"/>
  <c r="M70" i="38" s="1"/>
  <c r="Y70" i="38" s="1"/>
  <c r="T202" i="5"/>
  <c r="V202" i="5" s="1"/>
  <c r="W202" i="5" s="1"/>
  <c r="T217" i="5"/>
  <c r="V217" i="5" s="1"/>
  <c r="W217" i="5" s="1"/>
  <c r="S33" i="11"/>
  <c r="U33" i="11" s="1"/>
  <c r="V33" i="11" s="1"/>
  <c r="N78" i="38"/>
  <c r="N70" i="38"/>
  <c r="N84" i="38"/>
  <c r="U84" i="38" s="1"/>
  <c r="V84" i="38" s="1"/>
  <c r="N66" i="38"/>
  <c r="U66" i="38" s="1"/>
  <c r="V66" i="38" s="1"/>
  <c r="N86" i="38"/>
  <c r="N68" i="38"/>
  <c r="N82" i="38"/>
  <c r="U82" i="38" s="1"/>
  <c r="V82" i="38" s="1"/>
  <c r="N74" i="38"/>
  <c r="U74" i="38" s="1"/>
  <c r="V74" i="38" s="1"/>
  <c r="N76" i="38"/>
  <c r="N72" i="38"/>
  <c r="N80" i="38"/>
  <c r="U80" i="38" s="1"/>
  <c r="V80" i="38" s="1"/>
  <c r="N64" i="38"/>
  <c r="L127" i="38"/>
  <c r="M127" i="38" s="1"/>
  <c r="Y127" i="38" s="1"/>
  <c r="S47" i="6"/>
  <c r="U47" i="6" s="1"/>
  <c r="V47" i="6" s="1"/>
  <c r="U45" i="6"/>
  <c r="V45" i="6" s="1"/>
  <c r="N20" i="39"/>
  <c r="N12" i="39"/>
  <c r="U12" i="39" s="1"/>
  <c r="V12" i="39" s="1"/>
  <c r="N16" i="39"/>
  <c r="N21" i="39"/>
  <c r="N13" i="39"/>
  <c r="N17" i="39"/>
  <c r="S74" i="4"/>
  <c r="U74" i="4" s="1"/>
  <c r="V74" i="4" s="1"/>
  <c r="U73" i="4"/>
  <c r="V73" i="4" s="1"/>
  <c r="L80" i="38"/>
  <c r="M80" i="38" s="1"/>
  <c r="Y80" i="38" s="1"/>
  <c r="L68" i="38"/>
  <c r="M68" i="38" s="1"/>
  <c r="Y68" i="38" s="1"/>
  <c r="S23" i="7"/>
  <c r="B8" i="7" s="1"/>
  <c r="G48" i="13"/>
  <c r="L138" i="11"/>
  <c r="G25" i="13" s="1"/>
  <c r="G54" i="13" s="1"/>
  <c r="L54" i="6"/>
  <c r="G21" i="13" s="1"/>
  <c r="M162" i="5"/>
  <c r="G20" i="13" s="1"/>
  <c r="U18" i="7"/>
  <c r="U23" i="7" s="1"/>
  <c r="V23" i="7" s="1"/>
  <c r="V18" i="7"/>
  <c r="I357" i="5"/>
  <c r="T92" i="5"/>
  <c r="U78" i="4"/>
  <c r="V78" i="4" s="1"/>
  <c r="G49" i="13"/>
  <c r="V304" i="5"/>
  <c r="W304" i="5" s="1"/>
  <c r="M93" i="5"/>
  <c r="M96" i="5" s="1"/>
  <c r="M107" i="5" s="1"/>
  <c r="G19" i="13" s="1"/>
  <c r="I96" i="5"/>
  <c r="M357" i="5"/>
  <c r="M361" i="5" s="1"/>
  <c r="G23" i="13" s="1"/>
  <c r="S41" i="4" l="1"/>
  <c r="U41" i="4" s="1"/>
  <c r="V41" i="4" s="1"/>
  <c r="U22" i="4"/>
  <c r="V22" i="4" s="1"/>
  <c r="I26" i="13"/>
  <c r="S138" i="11"/>
  <c r="U138" i="11" s="1"/>
  <c r="V138" i="11" s="1"/>
  <c r="S54" i="6"/>
  <c r="U54" i="6" s="1"/>
  <c r="V54" i="6" s="1"/>
  <c r="S144" i="6"/>
  <c r="U144" i="6" s="1"/>
  <c r="V144" i="6" s="1"/>
  <c r="U20" i="6"/>
  <c r="V20" i="6" s="1"/>
  <c r="P159" i="5"/>
  <c r="P96" i="5"/>
  <c r="P357" i="5"/>
  <c r="S82" i="4"/>
  <c r="U82" i="4" s="1"/>
  <c r="V82" i="4" s="1"/>
  <c r="S39" i="3"/>
  <c r="U39" i="3" s="1"/>
  <c r="V39" i="3" s="1"/>
  <c r="U78" i="38"/>
  <c r="V78" i="38" s="1"/>
  <c r="W71" i="39"/>
  <c r="X71" i="39" s="1"/>
  <c r="Z71" i="39"/>
  <c r="Z14" i="38"/>
  <c r="W14" i="38"/>
  <c r="X14" i="38" s="1"/>
  <c r="Z30" i="38"/>
  <c r="W30" i="38"/>
  <c r="X30" i="38" s="1"/>
  <c r="U21" i="39"/>
  <c r="V21" i="39" s="1"/>
  <c r="U64" i="38"/>
  <c r="V64" i="38" s="1"/>
  <c r="W64" i="38" s="1"/>
  <c r="X64" i="38" s="1"/>
  <c r="Z74" i="38"/>
  <c r="W74" i="38"/>
  <c r="X74" i="38" s="1"/>
  <c r="W66" i="38"/>
  <c r="X66" i="38" s="1"/>
  <c r="Z66" i="38"/>
  <c r="W68" i="39"/>
  <c r="X68" i="39" s="1"/>
  <c r="Z68" i="39"/>
  <c r="Z75" i="39"/>
  <c r="W75" i="39"/>
  <c r="X75" i="39" s="1"/>
  <c r="W123" i="38"/>
  <c r="X123" i="38" s="1"/>
  <c r="Z123" i="38"/>
  <c r="Z128" i="38"/>
  <c r="W128" i="38"/>
  <c r="X128" i="38" s="1"/>
  <c r="Z18" i="38"/>
  <c r="W18" i="38"/>
  <c r="X18" i="38" s="1"/>
  <c r="Z121" i="38"/>
  <c r="W121" i="38"/>
  <c r="X121" i="38" s="1"/>
  <c r="U28" i="38"/>
  <c r="V28" i="38" s="1"/>
  <c r="W22" i="39"/>
  <c r="X22" i="39" s="1"/>
  <c r="Z22" i="39"/>
  <c r="U13" i="39"/>
  <c r="V13" i="39" s="1"/>
  <c r="W119" i="38"/>
  <c r="X119" i="38" s="1"/>
  <c r="Z119" i="38"/>
  <c r="W67" i="39"/>
  <c r="X67" i="39" s="1"/>
  <c r="Z67" i="39"/>
  <c r="Z118" i="38"/>
  <c r="W118" i="38"/>
  <c r="X118" i="38" s="1"/>
  <c r="T353" i="5"/>
  <c r="V353" i="5" s="1"/>
  <c r="W353" i="5" s="1"/>
  <c r="U16" i="39"/>
  <c r="V16" i="39" s="1"/>
  <c r="W80" i="38"/>
  <c r="X80" i="38" s="1"/>
  <c r="Z80" i="38"/>
  <c r="Z82" i="38"/>
  <c r="W82" i="38"/>
  <c r="X82" i="38" s="1"/>
  <c r="W84" i="38"/>
  <c r="X84" i="38" s="1"/>
  <c r="Z84" i="38"/>
  <c r="Z129" i="38"/>
  <c r="W129" i="38"/>
  <c r="X129" i="38" s="1"/>
  <c r="Z72" i="39"/>
  <c r="W72" i="39"/>
  <c r="X72" i="39" s="1"/>
  <c r="W66" i="39"/>
  <c r="X66" i="39" s="1"/>
  <c r="Z66" i="39"/>
  <c r="U117" i="38"/>
  <c r="V117" i="38" s="1"/>
  <c r="U122" i="38"/>
  <c r="V122" i="38" s="1"/>
  <c r="W20" i="38"/>
  <c r="X20" i="38" s="1"/>
  <c r="Z20" i="38"/>
  <c r="W126" i="38"/>
  <c r="X126" i="38" s="1"/>
  <c r="Z126" i="38"/>
  <c r="W26" i="38"/>
  <c r="X26" i="38" s="1"/>
  <c r="Z26" i="38"/>
  <c r="Z24" i="38"/>
  <c r="W24" i="38"/>
  <c r="X24" i="38" s="1"/>
  <c r="Z14" i="39"/>
  <c r="W14" i="39"/>
  <c r="X14" i="39" s="1"/>
  <c r="U20" i="39"/>
  <c r="V20" i="39" s="1"/>
  <c r="U76" i="38"/>
  <c r="V76" i="38" s="1"/>
  <c r="U86" i="38"/>
  <c r="V86" i="38" s="1"/>
  <c r="W76" i="39"/>
  <c r="X76" i="39" s="1"/>
  <c r="Z76" i="39"/>
  <c r="W16" i="38"/>
  <c r="X16" i="38" s="1"/>
  <c r="Z16" i="38"/>
  <c r="S50" i="11"/>
  <c r="I22" i="13" s="1"/>
  <c r="U17" i="39"/>
  <c r="V17" i="39" s="1"/>
  <c r="Z12" i="39"/>
  <c r="W12" i="39"/>
  <c r="X12" i="39" s="1"/>
  <c r="U72" i="38"/>
  <c r="V72" i="38" s="1"/>
  <c r="U68" i="38"/>
  <c r="V68" i="38" s="1"/>
  <c r="U70" i="38"/>
  <c r="V70" i="38" s="1"/>
  <c r="W124" i="38"/>
  <c r="X124" i="38" s="1"/>
  <c r="Z124" i="38"/>
  <c r="U70" i="39"/>
  <c r="V70" i="39" s="1"/>
  <c r="Z74" i="39"/>
  <c r="W74" i="39"/>
  <c r="X74" i="39" s="1"/>
  <c r="W127" i="38"/>
  <c r="X127" i="38" s="1"/>
  <c r="Z127" i="38"/>
  <c r="W22" i="38"/>
  <c r="X22" i="38" s="1"/>
  <c r="Z22" i="38"/>
  <c r="U12" i="38"/>
  <c r="V12" i="38" s="1"/>
  <c r="W12" i="38" s="1"/>
  <c r="X12" i="38" s="1"/>
  <c r="W116" i="38"/>
  <c r="X116" i="38" s="1"/>
  <c r="Z116" i="38"/>
  <c r="Z32" i="38"/>
  <c r="W32" i="38"/>
  <c r="X32" i="38" s="1"/>
  <c r="Z18" i="39"/>
  <c r="W18" i="39"/>
  <c r="X18" i="39" s="1"/>
  <c r="G53" i="13"/>
  <c r="G55" i="13" s="1"/>
  <c r="I17" i="13"/>
  <c r="L17" i="13" s="1"/>
  <c r="G51" i="13"/>
  <c r="G28" i="13"/>
  <c r="V93" i="5"/>
  <c r="W93" i="5" s="1"/>
  <c r="T96" i="5"/>
  <c r="V92" i="5"/>
  <c r="W92" i="5" s="1"/>
  <c r="T159" i="5"/>
  <c r="V157" i="5"/>
  <c r="W157" i="5" s="1"/>
  <c r="L26" i="13"/>
  <c r="I57" i="13"/>
  <c r="B8" i="4" l="1"/>
  <c r="E23" i="14" s="1"/>
  <c r="G23" i="14" s="1"/>
  <c r="I18" i="13"/>
  <c r="L18" i="13" s="1"/>
  <c r="M18" i="13" s="1"/>
  <c r="I25" i="13"/>
  <c r="L25" i="13" s="1"/>
  <c r="M25" i="13" s="1"/>
  <c r="B8" i="11"/>
  <c r="E306" i="14" s="1"/>
  <c r="G306" i="14" s="1"/>
  <c r="I21" i="13"/>
  <c r="I24" i="13"/>
  <c r="L24" i="13" s="1"/>
  <c r="M24" i="13" s="1"/>
  <c r="B8" i="6"/>
  <c r="E281" i="14" s="1"/>
  <c r="G281" i="14" s="1"/>
  <c r="T357" i="5"/>
  <c r="T361" i="5" s="1"/>
  <c r="B8" i="3"/>
  <c r="E11" i="14" s="1"/>
  <c r="G11" i="14" s="1"/>
  <c r="I16" i="13"/>
  <c r="L16" i="13" s="1"/>
  <c r="M16" i="13" s="1"/>
  <c r="G60" i="13"/>
  <c r="W70" i="38"/>
  <c r="X70" i="38" s="1"/>
  <c r="Z70" i="38"/>
  <c r="W72" i="38"/>
  <c r="X72" i="38" s="1"/>
  <c r="Z72" i="38"/>
  <c r="W70" i="39"/>
  <c r="X70" i="39" s="1"/>
  <c r="Z70" i="39"/>
  <c r="Z117" i="38"/>
  <c r="W117" i="38"/>
  <c r="X117" i="38" s="1"/>
  <c r="W17" i="39"/>
  <c r="X17" i="39" s="1"/>
  <c r="Z17" i="39"/>
  <c r="W76" i="38"/>
  <c r="X76" i="38" s="1"/>
  <c r="Z76" i="38"/>
  <c r="W21" i="39"/>
  <c r="X21" i="39" s="1"/>
  <c r="Z21" i="39"/>
  <c r="Z68" i="38"/>
  <c r="W68" i="38"/>
  <c r="X68" i="38" s="1"/>
  <c r="U50" i="11"/>
  <c r="V50" i="11" s="1"/>
  <c r="W86" i="38"/>
  <c r="X86" i="38" s="1"/>
  <c r="Z86" i="38"/>
  <c r="W20" i="39"/>
  <c r="X20" i="39" s="1"/>
  <c r="Z20" i="39"/>
  <c r="W122" i="38"/>
  <c r="X122" i="38" s="1"/>
  <c r="Z122" i="38"/>
  <c r="Z16" i="39"/>
  <c r="W16" i="39"/>
  <c r="X16" i="39" s="1"/>
  <c r="E4" i="14"/>
  <c r="G4" i="14" s="1"/>
  <c r="Z13" i="39"/>
  <c r="W13" i="39"/>
  <c r="X13" i="39" s="1"/>
  <c r="Z28" i="38"/>
  <c r="W28" i="38"/>
  <c r="X28" i="38" s="1"/>
  <c r="W78" i="38"/>
  <c r="X78" i="38" s="1"/>
  <c r="Z78" i="38"/>
  <c r="L57" i="13"/>
  <c r="M57" i="13" s="1"/>
  <c r="M26" i="13"/>
  <c r="L22" i="13"/>
  <c r="M17" i="13"/>
  <c r="E230" i="14"/>
  <c r="G230" i="14" s="1"/>
  <c r="V96" i="5"/>
  <c r="W96" i="5" s="1"/>
  <c r="T107" i="5"/>
  <c r="V159" i="5"/>
  <c r="W159" i="5" s="1"/>
  <c r="T162" i="5"/>
  <c r="E26" i="14" l="1"/>
  <c r="G26" i="14" s="1"/>
  <c r="E327" i="14"/>
  <c r="G327" i="14" s="1"/>
  <c r="E250" i="14"/>
  <c r="G250" i="14" s="1"/>
  <c r="E237" i="14"/>
  <c r="G237" i="14" s="1"/>
  <c r="E256" i="14"/>
  <c r="G256" i="14" s="1"/>
  <c r="E246" i="14"/>
  <c r="G246" i="14" s="1"/>
  <c r="E255" i="14"/>
  <c r="G255" i="14" s="1"/>
  <c r="E315" i="14"/>
  <c r="G315" i="14" s="1"/>
  <c r="E253" i="14"/>
  <c r="G253" i="14" s="1"/>
  <c r="E302" i="14"/>
  <c r="G302" i="14" s="1"/>
  <c r="V357" i="5"/>
  <c r="W357" i="5" s="1"/>
  <c r="E20" i="14"/>
  <c r="G20" i="14" s="1"/>
  <c r="E16" i="14"/>
  <c r="G16" i="14" s="1"/>
  <c r="L48" i="13"/>
  <c r="I48" i="13"/>
  <c r="E19" i="14"/>
  <c r="G19" i="14" s="1"/>
  <c r="E25" i="14"/>
  <c r="G25" i="14" s="1"/>
  <c r="E15" i="14"/>
  <c r="G15" i="14" s="1"/>
  <c r="E22" i="14"/>
  <c r="G22" i="14" s="1"/>
  <c r="E21" i="14"/>
  <c r="G21" i="14" s="1"/>
  <c r="E17" i="14"/>
  <c r="G17" i="14" s="1"/>
  <c r="E29" i="14"/>
  <c r="G29" i="14" s="1"/>
  <c r="E31" i="14"/>
  <c r="G31" i="14" s="1"/>
  <c r="I54" i="13"/>
  <c r="E252" i="14"/>
  <c r="G252" i="14" s="1"/>
  <c r="E334" i="14"/>
  <c r="G334" i="14" s="1"/>
  <c r="E316" i="14"/>
  <c r="G316" i="14" s="1"/>
  <c r="E249" i="14"/>
  <c r="G249" i="14" s="1"/>
  <c r="E324" i="14"/>
  <c r="G324" i="14" s="1"/>
  <c r="E310" i="14"/>
  <c r="G310" i="14" s="1"/>
  <c r="E307" i="14"/>
  <c r="G307" i="14" s="1"/>
  <c r="E312" i="14"/>
  <c r="G312" i="14" s="1"/>
  <c r="E245" i="14"/>
  <c r="G245" i="14" s="1"/>
  <c r="E319" i="14"/>
  <c r="G319" i="14" s="1"/>
  <c r="E317" i="14"/>
  <c r="G317" i="14" s="1"/>
  <c r="E328" i="14"/>
  <c r="G328" i="14" s="1"/>
  <c r="E313" i="14"/>
  <c r="G313" i="14" s="1"/>
  <c r="E242" i="14"/>
  <c r="G242" i="14" s="1"/>
  <c r="E241" i="14"/>
  <c r="G241" i="14" s="1"/>
  <c r="E240" i="14"/>
  <c r="G240" i="14" s="1"/>
  <c r="E305" i="14"/>
  <c r="G305" i="14" s="1"/>
  <c r="E236" i="14"/>
  <c r="G236" i="14" s="1"/>
  <c r="E323" i="14"/>
  <c r="G323" i="14" s="1"/>
  <c r="E321" i="14"/>
  <c r="G321" i="14" s="1"/>
  <c r="E239" i="14"/>
  <c r="G239" i="14" s="1"/>
  <c r="E303" i="14"/>
  <c r="G303" i="14" s="1"/>
  <c r="E331" i="14"/>
  <c r="G331" i="14" s="1"/>
  <c r="E308" i="14"/>
  <c r="G308" i="14" s="1"/>
  <c r="E335" i="14"/>
  <c r="G335" i="14" s="1"/>
  <c r="E311" i="14"/>
  <c r="G311" i="14" s="1"/>
  <c r="E322" i="14"/>
  <c r="G322" i="14" s="1"/>
  <c r="E244" i="14"/>
  <c r="G244" i="14" s="1"/>
  <c r="E330" i="14"/>
  <c r="G330" i="14" s="1"/>
  <c r="E320" i="14"/>
  <c r="G320" i="14" s="1"/>
  <c r="E277" i="14"/>
  <c r="G277" i="14" s="1"/>
  <c r="E222" i="14"/>
  <c r="G222" i="14" s="1"/>
  <c r="E285" i="14"/>
  <c r="G285" i="14" s="1"/>
  <c r="E269" i="14"/>
  <c r="G269" i="14" s="1"/>
  <c r="E286" i="14"/>
  <c r="G286" i="14" s="1"/>
  <c r="E208" i="14"/>
  <c r="G208" i="14" s="1"/>
  <c r="E217" i="14"/>
  <c r="G217" i="14" s="1"/>
  <c r="E273" i="14"/>
  <c r="G273" i="14" s="1"/>
  <c r="E229" i="14"/>
  <c r="G229" i="14" s="1"/>
  <c r="E270" i="14"/>
  <c r="G270" i="14" s="1"/>
  <c r="E290" i="14"/>
  <c r="G290" i="14" s="1"/>
  <c r="E274" i="14"/>
  <c r="G274" i="14" s="1"/>
  <c r="E268" i="14"/>
  <c r="G268" i="14" s="1"/>
  <c r="E225" i="14"/>
  <c r="G225" i="14" s="1"/>
  <c r="I53" i="13"/>
  <c r="L21" i="13"/>
  <c r="L53" i="13" s="1"/>
  <c r="E289" i="14"/>
  <c r="G289" i="14" s="1"/>
  <c r="E294" i="14"/>
  <c r="G294" i="14" s="1"/>
  <c r="E293" i="14"/>
  <c r="G293" i="14" s="1"/>
  <c r="E216" i="14"/>
  <c r="G216" i="14" s="1"/>
  <c r="E271" i="14"/>
  <c r="G271" i="14" s="1"/>
  <c r="E226" i="14"/>
  <c r="G226" i="14" s="1"/>
  <c r="E218" i="14"/>
  <c r="G218" i="14" s="1"/>
  <c r="E264" i="14"/>
  <c r="G264" i="14" s="1"/>
  <c r="E278" i="14"/>
  <c r="G278" i="14" s="1"/>
  <c r="E266" i="14"/>
  <c r="G266" i="14" s="1"/>
  <c r="E212" i="14"/>
  <c r="G212" i="14" s="1"/>
  <c r="E221" i="14"/>
  <c r="G221" i="14" s="1"/>
  <c r="E279" i="14"/>
  <c r="G279" i="14" s="1"/>
  <c r="E209" i="14"/>
  <c r="G209" i="14" s="1"/>
  <c r="E213" i="14"/>
  <c r="G213" i="14" s="1"/>
  <c r="E263" i="14"/>
  <c r="G263" i="14" s="1"/>
  <c r="E275" i="14"/>
  <c r="G275" i="14" s="1"/>
  <c r="E260" i="14"/>
  <c r="G260" i="14" s="1"/>
  <c r="E214" i="14"/>
  <c r="G214" i="14" s="1"/>
  <c r="E280" i="14"/>
  <c r="G280" i="14" s="1"/>
  <c r="E261" i="14"/>
  <c r="G261" i="14" s="1"/>
  <c r="E282" i="14"/>
  <c r="G282" i="14" s="1"/>
  <c r="E211" i="14"/>
  <c r="G211" i="14" s="1"/>
  <c r="E265" i="14"/>
  <c r="G265" i="14" s="1"/>
  <c r="E5" i="14"/>
  <c r="G5" i="14" s="1"/>
  <c r="I47" i="13"/>
  <c r="L47" i="13"/>
  <c r="E9" i="14"/>
  <c r="G9" i="14" s="1"/>
  <c r="E10" i="14"/>
  <c r="G10" i="14" s="1"/>
  <c r="V162" i="5"/>
  <c r="W162" i="5" s="1"/>
  <c r="I20" i="13"/>
  <c r="M22" i="13"/>
  <c r="L54" i="13"/>
  <c r="M54" i="13" s="1"/>
  <c r="I23" i="13"/>
  <c r="L23" i="13" s="1"/>
  <c r="V361" i="5"/>
  <c r="W361" i="5" s="1"/>
  <c r="V107" i="5"/>
  <c r="W107" i="5" s="1"/>
  <c r="I19" i="13"/>
  <c r="C8" i="5"/>
  <c r="I55" i="13" l="1"/>
  <c r="L49" i="13"/>
  <c r="M49" i="13" s="1"/>
  <c r="I49" i="13"/>
  <c r="M21" i="13"/>
  <c r="L19" i="13"/>
  <c r="I28" i="13"/>
  <c r="E121" i="14"/>
  <c r="G121" i="14" s="1"/>
  <c r="E131" i="14"/>
  <c r="G131" i="14" s="1"/>
  <c r="E176" i="14"/>
  <c r="G176" i="14" s="1"/>
  <c r="E84" i="14"/>
  <c r="G84" i="14" s="1"/>
  <c r="E189" i="14"/>
  <c r="G189" i="14" s="1"/>
  <c r="E106" i="14"/>
  <c r="G106" i="14" s="1"/>
  <c r="E144" i="14"/>
  <c r="G144" i="14" s="1"/>
  <c r="E67" i="14"/>
  <c r="G67" i="14" s="1"/>
  <c r="E147" i="14"/>
  <c r="G147" i="14" s="1"/>
  <c r="E55" i="14"/>
  <c r="G55" i="14" s="1"/>
  <c r="E60" i="14"/>
  <c r="G60" i="14" s="1"/>
  <c r="E98" i="14"/>
  <c r="G98" i="14" s="1"/>
  <c r="E188" i="14"/>
  <c r="G188" i="14" s="1"/>
  <c r="E120" i="14"/>
  <c r="G120" i="14" s="1"/>
  <c r="E63" i="14"/>
  <c r="G63" i="14" s="1"/>
  <c r="E83" i="14"/>
  <c r="G83" i="14" s="1"/>
  <c r="E52" i="14"/>
  <c r="G52" i="14" s="1"/>
  <c r="E40" i="14"/>
  <c r="G40" i="14" s="1"/>
  <c r="E158" i="14"/>
  <c r="G158" i="14" s="1"/>
  <c r="E97" i="14"/>
  <c r="G97" i="14" s="1"/>
  <c r="E201" i="14"/>
  <c r="G201" i="14" s="1"/>
  <c r="E74" i="14"/>
  <c r="G74" i="14" s="1"/>
  <c r="E91" i="14"/>
  <c r="G91" i="14" s="1"/>
  <c r="E51" i="14"/>
  <c r="G51" i="14" s="1"/>
  <c r="E133" i="14"/>
  <c r="G133" i="14" s="1"/>
  <c r="E93" i="14"/>
  <c r="G93" i="14" s="1"/>
  <c r="E179" i="14"/>
  <c r="G179" i="14" s="1"/>
  <c r="E87" i="14"/>
  <c r="G87" i="14" s="1"/>
  <c r="E130" i="14"/>
  <c r="G130" i="14" s="1"/>
  <c r="E194" i="14"/>
  <c r="G194" i="14" s="1"/>
  <c r="E61" i="14"/>
  <c r="G61" i="14" s="1"/>
  <c r="E111" i="14"/>
  <c r="G111" i="14" s="1"/>
  <c r="E149" i="14"/>
  <c r="G149" i="14" s="1"/>
  <c r="E71" i="14"/>
  <c r="G71" i="14" s="1"/>
  <c r="E117" i="14"/>
  <c r="G117" i="14" s="1"/>
  <c r="E155" i="14"/>
  <c r="G155" i="14" s="1"/>
  <c r="E187" i="14"/>
  <c r="G187" i="14" s="1"/>
  <c r="E196" i="14"/>
  <c r="G196" i="14" s="1"/>
  <c r="E161" i="14"/>
  <c r="G161" i="14" s="1"/>
  <c r="E58" i="14"/>
  <c r="G58" i="14" s="1"/>
  <c r="E92" i="14"/>
  <c r="G92" i="14" s="1"/>
  <c r="E108" i="14"/>
  <c r="G108" i="14" s="1"/>
  <c r="E125" i="14"/>
  <c r="G125" i="14" s="1"/>
  <c r="E88" i="14"/>
  <c r="G88" i="14" s="1"/>
  <c r="E174" i="14"/>
  <c r="G174" i="14" s="1"/>
  <c r="E134" i="14"/>
  <c r="G134" i="14" s="1"/>
  <c r="E136" i="14"/>
  <c r="G136" i="14" s="1"/>
  <c r="E142" i="14"/>
  <c r="G142" i="14" s="1"/>
  <c r="E37" i="14"/>
  <c r="G37" i="14" s="1"/>
  <c r="E104" i="14"/>
  <c r="G104" i="14" s="1"/>
  <c r="E65" i="14"/>
  <c r="G65" i="14" s="1"/>
  <c r="E177" i="14"/>
  <c r="G177" i="14" s="1"/>
  <c r="E139" i="14"/>
  <c r="G139" i="14" s="1"/>
  <c r="E113" i="14"/>
  <c r="G113" i="14" s="1"/>
  <c r="E47" i="14"/>
  <c r="G47" i="14" s="1"/>
  <c r="E86" i="14"/>
  <c r="G86" i="14" s="1"/>
  <c r="E50" i="14"/>
  <c r="G50" i="14" s="1"/>
  <c r="E146" i="14"/>
  <c r="G146" i="14" s="1"/>
  <c r="E94" i="14"/>
  <c r="G94" i="14" s="1"/>
  <c r="E186" i="14"/>
  <c r="G186" i="14" s="1"/>
  <c r="E160" i="14"/>
  <c r="G160" i="14" s="1"/>
  <c r="E182" i="14"/>
  <c r="G182" i="14" s="1"/>
  <c r="E159" i="14"/>
  <c r="G159" i="14" s="1"/>
  <c r="E175" i="14"/>
  <c r="G175" i="14" s="1"/>
  <c r="E107" i="14"/>
  <c r="G107" i="14" s="1"/>
  <c r="E72" i="14"/>
  <c r="G72" i="14" s="1"/>
  <c r="E112" i="14"/>
  <c r="G112" i="14" s="1"/>
  <c r="E66" i="14"/>
  <c r="G66" i="14" s="1"/>
  <c r="E124" i="14"/>
  <c r="G124" i="14" s="1"/>
  <c r="E200" i="14"/>
  <c r="G200" i="14" s="1"/>
  <c r="E203" i="14"/>
  <c r="G203" i="14" s="1"/>
  <c r="E68" i="14"/>
  <c r="G68" i="14" s="1"/>
  <c r="E153" i="14"/>
  <c r="G153" i="14" s="1"/>
  <c r="E137" i="14"/>
  <c r="G137" i="14" s="1"/>
  <c r="E195" i="14"/>
  <c r="G195" i="14" s="1"/>
  <c r="E184" i="14"/>
  <c r="G184" i="14" s="1"/>
  <c r="E192" i="14"/>
  <c r="G192" i="14" s="1"/>
  <c r="E56" i="14"/>
  <c r="G56" i="14" s="1"/>
  <c r="E48" i="14"/>
  <c r="G48" i="14" s="1"/>
  <c r="E180" i="14"/>
  <c r="G180" i="14" s="1"/>
  <c r="E95" i="14"/>
  <c r="G95" i="14" s="1"/>
  <c r="E54" i="14"/>
  <c r="G54" i="14" s="1"/>
  <c r="E119" i="14"/>
  <c r="G119" i="14" s="1"/>
  <c r="E154" i="14"/>
  <c r="G154" i="14" s="1"/>
  <c r="E151" i="14"/>
  <c r="G151" i="14" s="1"/>
  <c r="E127" i="14"/>
  <c r="G127" i="14" s="1"/>
  <c r="E35" i="14"/>
  <c r="G35" i="14" s="1"/>
  <c r="E57" i="14"/>
  <c r="G57" i="14" s="1"/>
  <c r="E64" i="14"/>
  <c r="G64" i="14" s="1"/>
  <c r="E36" i="14"/>
  <c r="G36" i="14" s="1"/>
  <c r="E163" i="14"/>
  <c r="G163" i="14" s="1"/>
  <c r="E199" i="14"/>
  <c r="G199" i="14" s="1"/>
  <c r="E202" i="14"/>
  <c r="G202" i="14" s="1"/>
  <c r="E70" i="14"/>
  <c r="G70" i="14" s="1"/>
  <c r="E143" i="14"/>
  <c r="G143" i="14" s="1"/>
  <c r="E69" i="14"/>
  <c r="G69" i="14" s="1"/>
  <c r="E116" i="14"/>
  <c r="G116" i="14" s="1"/>
  <c r="E103" i="14"/>
  <c r="G103" i="14" s="1"/>
  <c r="E148" i="14"/>
  <c r="G148" i="14" s="1"/>
  <c r="E96" i="14"/>
  <c r="G96" i="14" s="1"/>
  <c r="E128" i="14"/>
  <c r="G128" i="14" s="1"/>
  <c r="E123" i="14"/>
  <c r="G123" i="14" s="1"/>
  <c r="E181" i="14"/>
  <c r="G181" i="14" s="1"/>
  <c r="E114" i="14"/>
  <c r="G114" i="14" s="1"/>
  <c r="E105" i="14"/>
  <c r="G105" i="14" s="1"/>
  <c r="E197" i="14"/>
  <c r="G197" i="14" s="1"/>
  <c r="E138" i="14"/>
  <c r="G138" i="14" s="1"/>
  <c r="E59" i="14"/>
  <c r="G59" i="14" s="1"/>
  <c r="E162" i="14"/>
  <c r="G162" i="14" s="1"/>
  <c r="E141" i="14"/>
  <c r="G141" i="14" s="1"/>
  <c r="E140" i="14"/>
  <c r="G140" i="14" s="1"/>
  <c r="E129" i="14"/>
  <c r="G129" i="14" s="1"/>
  <c r="E73" i="14"/>
  <c r="G73" i="14" s="1"/>
  <c r="E110" i="14"/>
  <c r="G110" i="14" s="1"/>
  <c r="E193" i="14"/>
  <c r="G193" i="14" s="1"/>
  <c r="E150" i="14"/>
  <c r="G150" i="14" s="1"/>
  <c r="E53" i="14"/>
  <c r="G53" i="14" s="1"/>
  <c r="E38" i="14"/>
  <c r="G38" i="14" s="1"/>
  <c r="E157" i="14"/>
  <c r="G157" i="14" s="1"/>
  <c r="E41" i="14"/>
  <c r="G41" i="14" s="1"/>
  <c r="E152" i="14"/>
  <c r="G152" i="14" s="1"/>
  <c r="E34" i="14"/>
  <c r="G34" i="14" s="1"/>
  <c r="E115" i="14"/>
  <c r="G115" i="14" s="1"/>
  <c r="E132" i="14"/>
  <c r="G132" i="14" s="1"/>
  <c r="E185" i="14"/>
  <c r="G185" i="14" s="1"/>
  <c r="E49" i="14"/>
  <c r="G49" i="14" s="1"/>
  <c r="E39" i="14"/>
  <c r="G39" i="14" s="1"/>
  <c r="E85" i="14"/>
  <c r="G85" i="14" s="1"/>
  <c r="E90" i="14"/>
  <c r="G90" i="14" s="1"/>
  <c r="E42" i="14"/>
  <c r="G42" i="14" s="1"/>
  <c r="E118" i="14"/>
  <c r="G118" i="14" s="1"/>
  <c r="E156" i="14"/>
  <c r="G156" i="14" s="1"/>
  <c r="E204" i="14"/>
  <c r="G204" i="14" s="1"/>
  <c r="E126" i="14"/>
  <c r="G126" i="14" s="1"/>
  <c r="L20" i="13"/>
  <c r="I51" i="13"/>
  <c r="L55" i="13"/>
  <c r="M53" i="13"/>
  <c r="I60" i="13" l="1"/>
  <c r="M19" i="13"/>
  <c r="L28" i="13"/>
  <c r="L51" i="13"/>
  <c r="M51" i="13" s="1"/>
  <c r="M20" i="13"/>
  <c r="I38" i="13" l="1"/>
  <c r="M28" i="13"/>
  <c r="L60" i="13"/>
  <c r="M60" i="13" s="1"/>
</calcChain>
</file>

<file path=xl/sharedStrings.xml><?xml version="1.0" encoding="utf-8"?>
<sst xmlns="http://schemas.openxmlformats.org/spreadsheetml/2006/main" count="6106" uniqueCount="1523">
  <si>
    <t>Monthly_DailyCustomers_Forecast.RS</t>
  </si>
  <si>
    <t>Monthly_DailyCustomers_Forecast.RSVP</t>
  </si>
  <si>
    <t>Monthly_Sales_Forecast.RS</t>
  </si>
  <si>
    <t>BillDeter_RS.Tier_1</t>
  </si>
  <si>
    <t>BillDeter_RS.Tier_2</t>
  </si>
  <si>
    <t>Monthly_Sales_Forecast.RSVP</t>
  </si>
  <si>
    <t>Monthly_DailyCustomers_Forecast.RSD</t>
  </si>
  <si>
    <t>Monthly_Sales_Forecast.RSD</t>
  </si>
  <si>
    <t>BillDeter_RSD.Billing_kW</t>
  </si>
  <si>
    <t>Monthly_DailyCustomers_Forecast.CS</t>
  </si>
  <si>
    <t>Monthly_Sales_Forecast.CS</t>
  </si>
  <si>
    <t>Monthly_DailyCustomers_Forecast.GS</t>
  </si>
  <si>
    <t>Monthly_DailyCustomers_Forecast.GSUnMetered</t>
  </si>
  <si>
    <t>Monthly_DailyCustomers_Forecast.GST</t>
  </si>
  <si>
    <t>Monthly_Sales_Forecast.GS</t>
  </si>
  <si>
    <t>Monthly_Sales_Forecast.GSUnMetered</t>
  </si>
  <si>
    <t>Monthly_Sales_Forecast.GST</t>
  </si>
  <si>
    <t>BillDeter_GST.Energy_On</t>
  </si>
  <si>
    <t>BillDeter_GST.Energy_Off</t>
  </si>
  <si>
    <t>BillDeter_GS.EmergRelay_GS</t>
  </si>
  <si>
    <t>BillDeter_GS.EmergRelay_GST</t>
  </si>
  <si>
    <t>Monthly_DailyCustomers_Forecast.GSD</t>
  </si>
  <si>
    <t>BillDeter_GSD.Customer_SEC</t>
  </si>
  <si>
    <t>BillDeter_GSD.Customer_PRI</t>
  </si>
  <si>
    <t>BillDeter_GSD.Customer_SUB</t>
  </si>
  <si>
    <t>Monthly_Sales_Forecast.GSD</t>
  </si>
  <si>
    <t>BillDeter_GSD.Energy_SEC</t>
  </si>
  <si>
    <t>BillDeter_GSD.Energy_PRI</t>
  </si>
  <si>
    <t>BillDeter_GSD.Energy_SUB</t>
  </si>
  <si>
    <t>BillDeter_GSD.Billing_kw</t>
  </si>
  <si>
    <t>BillDeter_GSD.Billing_kw_SEC</t>
  </si>
  <si>
    <t>BillDeter_GSD.Billing_kw_PRI</t>
  </si>
  <si>
    <t>BillDeter_GSD.Billing_kw_SUB</t>
  </si>
  <si>
    <t>BillDeter_GSD.TxOwn_kw</t>
  </si>
  <si>
    <t>BillDeter_GSD.TxOwn_kw_PRI</t>
  </si>
  <si>
    <t>BillDeter_GSD.TxOwn_kw_SUB</t>
  </si>
  <si>
    <t>BillDeter_GSD.EmergRelay</t>
  </si>
  <si>
    <t>BillDeter_GSD.EmergRelay_SEC</t>
  </si>
  <si>
    <t>BillDeter_GSD.EmergRelay_PRI</t>
  </si>
  <si>
    <t>BillDeter_GSD.EmergRelay_SUB</t>
  </si>
  <si>
    <t>BillDeter_GSD.MtrLvlDisc_PRI_BillDeter</t>
  </si>
  <si>
    <t>BillDeter_GSD.MtrLvlDisc_SUB_BillDeter</t>
  </si>
  <si>
    <t>Monthly_DailyCustomers_Forecast.GSDT</t>
  </si>
  <si>
    <t>BillDeter_GSDT.Customer_SEC</t>
  </si>
  <si>
    <t>BillDeter_GSDT.Customer_PRI</t>
  </si>
  <si>
    <t>BillDeter_GSDT.Customer_SUB</t>
  </si>
  <si>
    <t>GSDT.CustOwned</t>
  </si>
  <si>
    <t>GSDT.CustOwned_SEC</t>
  </si>
  <si>
    <t>GSDT.CustOwned_PRI</t>
  </si>
  <si>
    <t>BillDeter_GSDT.Energy</t>
  </si>
  <si>
    <t>BillDeter_GSDT.Energy_SEC</t>
  </si>
  <si>
    <t>BillDeter_GSDT.Energy_PRI</t>
  </si>
  <si>
    <t>BillDeter_GSDT.Energy_SUB</t>
  </si>
  <si>
    <t>BillDeter_GSDT.Energy_OnPk</t>
  </si>
  <si>
    <t>BillDeter_GSDT.Energy_On_SEC</t>
  </si>
  <si>
    <t>BillDeter_GSDT.Energy_On_PRI</t>
  </si>
  <si>
    <t>BillDeter_GSDT.Energy_On_SUB</t>
  </si>
  <si>
    <t>BillDeter_GSDT.Energy_OffPk</t>
  </si>
  <si>
    <t>BillDeter_GSDT.Energy_Off_SEC</t>
  </si>
  <si>
    <t>BillDeter_GSDT.Energy_Off_PRI</t>
  </si>
  <si>
    <t>BillDeter_GSDT.Energy_Off_SUB</t>
  </si>
  <si>
    <t>BillDeter_GSDT.Billing_kw</t>
  </si>
  <si>
    <t>BillDeter_GSDT.Billing_kw_SEC</t>
  </si>
  <si>
    <t>BillDeter_GSDT.Billing_kw_PRI</t>
  </si>
  <si>
    <t>BillDeter_GSDT.Billing_kw_SUB</t>
  </si>
  <si>
    <t>BillDeter_GSDT.Peak_kw</t>
  </si>
  <si>
    <t>BillDeter_GSDT.Peak_kw_SEC</t>
  </si>
  <si>
    <t>BillDeter_GSDT.Peak_kw_PRI</t>
  </si>
  <si>
    <t>BillDeter_GSDT.Peak_kw_SUB</t>
  </si>
  <si>
    <t>BillDeter_GSDT.TxOwn_kw</t>
  </si>
  <si>
    <t>BillDeter_GSDT.TxOwn_kw_PRI</t>
  </si>
  <si>
    <t>BillDeter_GSDT.TxOwn_kw_SUB</t>
  </si>
  <si>
    <t>BillDeter_GSDT.EmergRelay</t>
  </si>
  <si>
    <t>BillDeter_GSDT.EmergRelay_SEC</t>
  </si>
  <si>
    <t>BillDeter_GSDT.EmergRelay_PRI</t>
  </si>
  <si>
    <t>BillDeter_GSDT.EmergRelay_SUB</t>
  </si>
  <si>
    <t>BillDeter_GSDT.MtrLvlDisc_PRI_BillDeter</t>
  </si>
  <si>
    <t>BillDeter_GSDT.MtrLvlDisc_SUB_BillDeter</t>
  </si>
  <si>
    <t>Monthly_DailyCustomers_Forecast.GSD_Option</t>
  </si>
  <si>
    <t>BillDeter_GSD_Option.Customer_SEC</t>
  </si>
  <si>
    <t>BillDeter_GSD_Option.Customer_PRI</t>
  </si>
  <si>
    <t>BillDeter_GSD_Option.Customer_SUB</t>
  </si>
  <si>
    <t>Monthly_Sales_Forecast.GSD_Option</t>
  </si>
  <si>
    <t>BillDeter_GSD_Option.Energy_SEC</t>
  </si>
  <si>
    <t>BillDeter_GSD_Option.Energy_PRI</t>
  </si>
  <si>
    <t>BillDeter_GSD_Option.Energy_SUB</t>
  </si>
  <si>
    <t>BillDeter_GSD_Option.TxOwn_kwh</t>
  </si>
  <si>
    <t>BillDeter_GSD_Option.TxOwn_kwh_PRI</t>
  </si>
  <si>
    <t>BillDeter_GSD_Option.TxOwn_kwh_SUB</t>
  </si>
  <si>
    <t>BillDeter_GSD_Option.EmergRelay</t>
  </si>
  <si>
    <t>BillDeter_GSD_Option.EmergRelay_SEC</t>
  </si>
  <si>
    <t>BillDeter_GSD_Option.EmergRelay_PRI</t>
  </si>
  <si>
    <t>BillDeter_GSD_Option.EmergRelay_SUB</t>
  </si>
  <si>
    <t>BillDeter_GSD_Option.Billing_kw</t>
  </si>
  <si>
    <t>BillDeter_GSD_Option.Billing_kw_SEC</t>
  </si>
  <si>
    <t>BillDeter_GSD_Option.Billing_kw_PRI</t>
  </si>
  <si>
    <t>BillDeter_GSD_Option.Billing_kw_SUB</t>
  </si>
  <si>
    <t>BillDeter_GSD_Option.MtrLvlDisc_PRI_BillDeter</t>
  </si>
  <si>
    <t>BillDeter_GSD_Option.MtrLvlDisc_SUB_BillDeter</t>
  </si>
  <si>
    <t>Monthly_Customer_Forecast.SBD</t>
  </si>
  <si>
    <t>BillDeter_SBD.Customer_SEC</t>
  </si>
  <si>
    <t>BillDeter_SBD.Customer_PRI</t>
  </si>
  <si>
    <t>BillDeter_SBD.Customer_SUB</t>
  </si>
  <si>
    <t>Monthly_Sales_Forecast.SBD</t>
  </si>
  <si>
    <t>BillDeter_SBD.EmergRelay</t>
  </si>
  <si>
    <t>BillDeter_SBD.EmergRelay_SEC</t>
  </si>
  <si>
    <t>BillDeter_SBD.EmergRelay_PRI</t>
  </si>
  <si>
    <t>BillDeter_SBD.EmergRelay_SUB</t>
  </si>
  <si>
    <t>BillDeter_SBD.MtrLvlDisc_PRI_BillDeter</t>
  </si>
  <si>
    <t>BillDeter_SBD.MtrLvlDisc_SUB_BillDeter</t>
  </si>
  <si>
    <t>BillDeter_SBD.Energy_Supp</t>
  </si>
  <si>
    <t>BillDeter_SBD.Energy_Supp_SEC</t>
  </si>
  <si>
    <t>BillDeter_SBD.Energy_Supp_PRI</t>
  </si>
  <si>
    <t>BillDeter_SBD.Energy_Supp_SUB</t>
  </si>
  <si>
    <t>BillDeter_SBD.SUPP_Billing_kw</t>
  </si>
  <si>
    <t>BillDeter_SBD.SUPP_Billing_kw_SEC</t>
  </si>
  <si>
    <t>BillDeter_SBD.SUPP_Billing_kw_PRI</t>
  </si>
  <si>
    <t>BillDeter_SBD.SUPP_Billing_kw_SUB</t>
  </si>
  <si>
    <t>BillDeter_SBD.TxOwn_SUPP_kw</t>
  </si>
  <si>
    <t>BillDeter_SBD.TxOwn_SUPP_kw_PRI</t>
  </si>
  <si>
    <t>BillDeter_SBD.TxOwn_SUPP_kw_SUB</t>
  </si>
  <si>
    <t>BillDeter_SBD.Energy_SB</t>
  </si>
  <si>
    <t>BillDeter_SBD.Energy_SB_SEC</t>
  </si>
  <si>
    <t>BillDeter_SBD.Energy_SB_PRI</t>
  </si>
  <si>
    <t>BillDeter_SBD.Energy_SB_SUB</t>
  </si>
  <si>
    <t>BillDeter_SBD.SB_LFRC_kw</t>
  </si>
  <si>
    <t>BillDeter_SBD.SB_LFRC_kw_SEC</t>
  </si>
  <si>
    <t>BillDeter_SBD.SB_LFRC_kw_PRI</t>
  </si>
  <si>
    <t>BillDeter_SBD.SB_LFRC_kw_SUB</t>
  </si>
  <si>
    <t>BillDeter_SBD.SB_PSRC_kw</t>
  </si>
  <si>
    <t>BillDeter_SBD.SB_PSRC_kw_SEC</t>
  </si>
  <si>
    <t>BillDeter_SBD.SB_PSRC_kw_PRI</t>
  </si>
  <si>
    <t>BillDeter_SBD.SB_PSRC_kw_SUB</t>
  </si>
  <si>
    <t>BillDeter_SBD.SB_PSDC_kw</t>
  </si>
  <si>
    <t>BillDeter_SBD.SB_PSDC_kw_SEC</t>
  </si>
  <si>
    <t>BillDeter_SBD.SB_PSDC_kw_PRI</t>
  </si>
  <si>
    <t>BillDeter_SBD.SB_PSDC_kw_SUB</t>
  </si>
  <si>
    <t>BillDeter_SBD.TxOwn_SB_kw</t>
  </si>
  <si>
    <t>BillDeter_SBD.TxOwn_SB_kw_PRI</t>
  </si>
  <si>
    <t>BillDeter_SBD.TxOwn_SB_kw_SUB</t>
  </si>
  <si>
    <t>Monthly_Customer_Forecast.SBDT</t>
  </si>
  <si>
    <t>BillDeter_SBDT.Customer_SEC</t>
  </si>
  <si>
    <t>BillDeter_SBDT.Customer_PRI</t>
  </si>
  <si>
    <t>BillDeter_SBDT.Customer_SUB</t>
  </si>
  <si>
    <t>Monthly_Sales_Forecast.SBDT</t>
  </si>
  <si>
    <t>BillDeter_SBDT.EmergRelay</t>
  </si>
  <si>
    <t>BillDeter_SBDT.EmergRelay_SEC</t>
  </si>
  <si>
    <t>BillDeter_SBDT.EmergRelay_PRI</t>
  </si>
  <si>
    <t>BillDeter_SBDT.EmergRelay_SUB</t>
  </si>
  <si>
    <t>BillDeter_SBDT.MtrLvlDisc_PRI_BillDeter</t>
  </si>
  <si>
    <t>BillDeter_SBDT.MtrLvlDisc_SUB_BillDeter</t>
  </si>
  <si>
    <t>BillDeter_SBDT.Energy_Supp</t>
  </si>
  <si>
    <t>BillDeter_SBDT.Energy_Supp_SEC</t>
  </si>
  <si>
    <t>BillDeter_SBDT.Energy_Supp_PRI</t>
  </si>
  <si>
    <t>BillDeter_SBDT.Energy_Supp_SUB</t>
  </si>
  <si>
    <t>BillDeter_SBDT.Energy_SUPP_OnPk</t>
  </si>
  <si>
    <t>BillDeter_SBDT.Energy_SUPP_On_SEC</t>
  </si>
  <si>
    <t>BillDeter_SBDT.Energy_SUPP_On_PRI</t>
  </si>
  <si>
    <t>BillDeter_SBDT.Energy_SUPP_On_SUB</t>
  </si>
  <si>
    <t>BillDeter_SBDT.Energy_SUPP_OffPk</t>
  </si>
  <si>
    <t>BillDeter_SBDT.Energy_SUPP_Off_SEC</t>
  </si>
  <si>
    <t>BillDeter_SBDT.Energy_SUPP_Off_PRI</t>
  </si>
  <si>
    <t>BillDeter_SBDT.Energy_SUPP_Off_SUB</t>
  </si>
  <si>
    <t>BillDeter_SBDT.SUPP_Billing_kw</t>
  </si>
  <si>
    <t>BillDeter_SBDT.SUPP_Billing_kw_SEC</t>
  </si>
  <si>
    <t>BillDeter_SBDT.SUPP_Billing_kw_PRI</t>
  </si>
  <si>
    <t>BillDeter_SBDT.SUPP_Billing_kw_SUB</t>
  </si>
  <si>
    <t>BillDeter_SBDT.SUPP_Peak_kw</t>
  </si>
  <si>
    <t>BillDeter_SBDT.SUPP_Peak_kw_SEC</t>
  </si>
  <si>
    <t>BillDeter_SBDT.SUPP_Peak_kw_PRI</t>
  </si>
  <si>
    <t>BillDeter_SBDT.SUPP_Peak_kw_SUB</t>
  </si>
  <si>
    <t>BillDeter_SBDT.TxOwn_SUPP_kw</t>
  </si>
  <si>
    <t>BillDeter_SBDT.TxOwn_SUPP_kw_PRI</t>
  </si>
  <si>
    <t>BillDeter_SBDT.TxOwn_SUPP_kw_SUB</t>
  </si>
  <si>
    <t>BillDeter_SBDT.Energy_SB</t>
  </si>
  <si>
    <t>BillDeter_SBDT.Energy_SB_SEC</t>
  </si>
  <si>
    <t>BillDeter_SBDT.Energy_SB_PRI</t>
  </si>
  <si>
    <t>BillDeter_SBDT.Energy_SB_SUB</t>
  </si>
  <si>
    <t>BillDeter_SBDT.Energy_SB_OnPk</t>
  </si>
  <si>
    <t>BillDeter_SBDT.Energy_SB_On_SEC</t>
  </si>
  <si>
    <t>BillDeter_SBDT.Energy_SB_On_PRI</t>
  </si>
  <si>
    <t>BillDeter_SBDT.Energy_SB_On_SUB</t>
  </si>
  <si>
    <t>BillDeter_SBDT.Energy_SB_OffPk</t>
  </si>
  <si>
    <t>BillDeter_SBDT.Energy_SB_Off_SEC</t>
  </si>
  <si>
    <t>BillDeter_SBDT.Energy_SB_Off_PRI</t>
  </si>
  <si>
    <t>BillDeter_SBDT.Energy_SB_Off_SUB</t>
  </si>
  <si>
    <t>BillDeter_SBDT.SB_LFRC_kw</t>
  </si>
  <si>
    <t>BillDeter_SBDT.SB_LFRC_kw_SEC</t>
  </si>
  <si>
    <t>BillDeter_SBDT.SB_LFRC_kw_PRI</t>
  </si>
  <si>
    <t>BillDeter_SBDT.SB_LFRC_kw_SUB</t>
  </si>
  <si>
    <t>BillDeter_SBDT.SB_PSRC_kw</t>
  </si>
  <si>
    <t>BillDeter_SBDT.SB_PSRC_kw_SEC</t>
  </si>
  <si>
    <t>BillDeter_SBDT.SB_PSRC_kw_PRI</t>
  </si>
  <si>
    <t>BillDeter_SBDT.SB_PSRC_kw_SUB</t>
  </si>
  <si>
    <t>BillDeter_SBDT.SB_PSDC_kw</t>
  </si>
  <si>
    <t>BillDeter_SBDT.SB_PSDC_kw_SEC</t>
  </si>
  <si>
    <t>BillDeter_SBDT.SB_PSDC_kw_PRI</t>
  </si>
  <si>
    <t>BillDeter_SBDT.SB_PSDC_kw_SUB</t>
  </si>
  <si>
    <t>BillDeter_SBDT.TxOwn_SB_kw</t>
  </si>
  <si>
    <t>BillDeter_SBDT.TxOwn_SB_kw_PRI</t>
  </si>
  <si>
    <t>BillDeter_SBDT.TxOwn_SB_kw_SUB</t>
  </si>
  <si>
    <t>BillDeter_GSLD_PR.DailyCustomer</t>
  </si>
  <si>
    <t>BillDeter_GSLD_PR.Energy</t>
  </si>
  <si>
    <t>BillDeter_GSLD_PR.Billing_kW</t>
  </si>
  <si>
    <t>BillDeter_GSLD_PR.EmergRelay</t>
  </si>
  <si>
    <t>BillDeter_GSLD_PR.MtrLvlDisc</t>
  </si>
  <si>
    <t>BillDeter_GSLD_PR.kVarh_Chg_kw</t>
  </si>
  <si>
    <t>BillDeter_GSLD_PR.kVarh_Crd_kw</t>
  </si>
  <si>
    <t>BillDeter_GSLD_SU.DailyCustomer</t>
  </si>
  <si>
    <t>BillDeter_GSLD_SU.Energy</t>
  </si>
  <si>
    <t>BillDeter_GSLD_SU.Billing_kw</t>
  </si>
  <si>
    <t>BillDeter_GSLD_SU.EmergRelay</t>
  </si>
  <si>
    <t>BillDeter_GSLD_SU.MtrLvlDisc</t>
  </si>
  <si>
    <t>BillDeter_GSLD_SU.kVarh_Chg_kw</t>
  </si>
  <si>
    <t>BillDeter_GSLD_SU.kVarh_Crd_kw</t>
  </si>
  <si>
    <t>BillDeter_GSLDT_PR.Daily Customer</t>
  </si>
  <si>
    <t>BillDeter_GSLDT_PR.CustOwned</t>
  </si>
  <si>
    <t>BillDeter_GSLDT_PR.Energy</t>
  </si>
  <si>
    <t>BillDeter_GSLDT_PR.Energy_OnPk</t>
  </si>
  <si>
    <t>BillDeter_GSLDT_PR.Energy_OffPk</t>
  </si>
  <si>
    <t>BillDeter_GSLDT_PR.Billing_kW</t>
  </si>
  <si>
    <t>BillDeter_GSLDT_PR.Peak_kw</t>
  </si>
  <si>
    <t>BillDeter_GSLDT_PR.EmergRelay</t>
  </si>
  <si>
    <t>BillDeter_GSLDT_PR.MtrLvlDisc</t>
  </si>
  <si>
    <t>BillDeter_GSLDT_PR.kVarh_Chg_kw</t>
  </si>
  <si>
    <t>BillDeter_GSLDT_PR.kVarh_Crd_kw</t>
  </si>
  <si>
    <t>BillDeter_GSLDT_SU.DailyCustomer</t>
  </si>
  <si>
    <t>BillDeter_GSLDT_SU.Energy</t>
  </si>
  <si>
    <t>BillDeter_GSLDT_SU.Energy_OnPk</t>
  </si>
  <si>
    <t>BillDeter_GSLDT_SU.Energy_OffPk</t>
  </si>
  <si>
    <t>BillDeter_GSLDT_SU.Billing_kW</t>
  </si>
  <si>
    <t>BillDeter_GSLDT_SU.Peak_kw</t>
  </si>
  <si>
    <t>BillDeter_GSLDT_SU.EmergRelay</t>
  </si>
  <si>
    <t>BillDeter_GSLDT_SU.MtrLvlDisc</t>
  </si>
  <si>
    <t>BillDeter_GSLDT_SU.kVarh_Chg_kw</t>
  </si>
  <si>
    <t>BillDeter_GSLDT_SU.kVarh_Crd_kw</t>
  </si>
  <si>
    <t>Monthly_Customer_Forecast.SBLDPR</t>
  </si>
  <si>
    <t>Monthly_Sales_Forecast.SBLDPR</t>
  </si>
  <si>
    <t>BillDeter_SBLDPR.EmergRelay</t>
  </si>
  <si>
    <t>BillDeter_SBLDPR.MtrLvlDisc_PRI_BillDeter</t>
  </si>
  <si>
    <t>BillDeter_SBLDPR.kVarh_Chg_kw</t>
  </si>
  <si>
    <t>BillDeter_SBLDPR.kVarh_Crd_kw</t>
  </si>
  <si>
    <t>BillDeter_SBLDPR.Energy_Supp</t>
  </si>
  <si>
    <t>BillDeter_SBLDPR.SUPP_Billing_kw</t>
  </si>
  <si>
    <t>BillDeter_SBLDPR.Energy_SB</t>
  </si>
  <si>
    <t>BillDeter_SBLDPR.SB_LFRC_kw</t>
  </si>
  <si>
    <t>BillDeter_SBLDPR.SB_PSRC_kw</t>
  </si>
  <si>
    <t>BillDeter_SBLDPR.SB_PSDC_kw</t>
  </si>
  <si>
    <t>Monthly_Customer_Forecast.SBLDSU</t>
  </si>
  <si>
    <t>Monthly_Sales_Forecast.SBLDSU</t>
  </si>
  <si>
    <t>BillDeter_SBLDSU.EmergRelay</t>
  </si>
  <si>
    <t>BillDeter_SBLDSU.MtrLvlDisc_SUB BillDeter</t>
  </si>
  <si>
    <t>BillDeter_SBLDSU.kVarh_Chg_kw</t>
  </si>
  <si>
    <t>BillDeter_SBLDSU.kVarh_Crd_kw</t>
  </si>
  <si>
    <t>BillDeter_SBLDSU.Energy_Supp</t>
  </si>
  <si>
    <t>BillDeter_SBLDSU.SUPP_Billing_kw</t>
  </si>
  <si>
    <t>BillDeter_SBLDSU.Energy_SB</t>
  </si>
  <si>
    <t>BillDeter_SBLDSU.SB_LFRC_kw</t>
  </si>
  <si>
    <t>BillDeter_SBLDSU.SB_PSRC_kw</t>
  </si>
  <si>
    <t>BillDeter_SBLDSU.SB_PSDC_kw</t>
  </si>
  <si>
    <t>Monthly_DailyCustomers_Forecast.SBLDT_PR</t>
  </si>
  <si>
    <t>BillDeter_SBLDT_PR.Energy</t>
  </si>
  <si>
    <t>BillDeter_SBLDT_PR.EmergRelay</t>
  </si>
  <si>
    <t>BillDeter_SBLDT_PR.MtrLvlDisc</t>
  </si>
  <si>
    <t>BillDeter_SBLDT_PR.kVarh_Chg_kw</t>
  </si>
  <si>
    <t>BillDeter_SBLDT_PR.kVarh_Crd_kw</t>
  </si>
  <si>
    <t>BillDeter_SBLDT_PR.Energy_Supp</t>
  </si>
  <si>
    <t>BillDeter_SBLDT_PR.Energy_SUPP_OnPk</t>
  </si>
  <si>
    <t>BillDeter_SBLDT_PR.Energy_SUPP_OffPk</t>
  </si>
  <si>
    <t>BillDeter_SBLDT_PR.SUPP_Billing_kw</t>
  </si>
  <si>
    <t>BillDeter_SBLDT_PR.SUPP_Peak_kw</t>
  </si>
  <si>
    <t>BillDeter_SBLDT_PR.Energy_SB</t>
  </si>
  <si>
    <t>BillDeter_SBLDT_PR.Energy_SB_OnPk</t>
  </si>
  <si>
    <t>BillDeter_SBLDT_PR.Energy_SB_OffPk</t>
  </si>
  <si>
    <t>BillDeter_SBLDT_PR.SB_LFRC_kw</t>
  </si>
  <si>
    <t>BillDeter_SBLDT_PR.SB_PSRC_kw</t>
  </si>
  <si>
    <t>BillDeter_SBLDT_PR.SB_PSDC_kw</t>
  </si>
  <si>
    <t>Monthly_DailyCustomers_Forecast.SBLDT_SU</t>
  </si>
  <si>
    <t>BillDeter_SBLDT_SU.Energy</t>
  </si>
  <si>
    <t>BillDeter_SBLDT_SU.EmergRelay</t>
  </si>
  <si>
    <t>BillDeter_SBLDT_SU.MtrLvlDisc</t>
  </si>
  <si>
    <t>BillDeter_SBLDT_SU.kVarh_Chg_kw</t>
  </si>
  <si>
    <t>BillDeter_SBLDT_SU.kVarh_Crd_kw</t>
  </si>
  <si>
    <t>BillDeter_SBLDT_SU.Energy_Supp</t>
  </si>
  <si>
    <t>BillDeter_SBLDT_SU.Energy_SUPP_OnPk</t>
  </si>
  <si>
    <t>BillDeter_SBLDT_SU.Energy_SUPP_OffPk</t>
  </si>
  <si>
    <t>BillDeter_SBLDT_SU.SUPP_Billing_kw</t>
  </si>
  <si>
    <t>BillDeter_SBLDT_SU.SUPP_Peak_kw</t>
  </si>
  <si>
    <t>BillDeter_SBLDT_SU.Energy_SB</t>
  </si>
  <si>
    <t>BillDeter_SBLDT_SU.Energy_SB_OnPk</t>
  </si>
  <si>
    <t>BillDeter_SBLDT_SU.Energy_SB_OffPk</t>
  </si>
  <si>
    <t>BillDeter_SBLDT_SU.SB_LFRC_kw</t>
  </si>
  <si>
    <t>BillDeter_SBLDT_SU.SB_PSRC_kw</t>
  </si>
  <si>
    <t>BillDeter_SBLDT_SU.SB_PSDC_kw</t>
  </si>
  <si>
    <t>Monthly_DailyCustomers_Forecast.LS1</t>
  </si>
  <si>
    <t>Monthly_DailyCustomers_Forecast.LS1Metered</t>
  </si>
  <si>
    <t>Fcst_LS1_kwh.LS1_Energy</t>
  </si>
  <si>
    <t>Fcst_LS1_Metered_kwh.LS1_Energy</t>
  </si>
  <si>
    <t>Fcst_LS2_kwh.LS2_Energy</t>
  </si>
  <si>
    <t>Fcst_LS2_Metered_kwh.LS2_Energy</t>
  </si>
  <si>
    <t>SunSelect_kWh.RS_Tier1</t>
  </si>
  <si>
    <t>SunSelect_kWh.GS</t>
  </si>
  <si>
    <t>SunSelect_kWh.GSD_Secondary</t>
  </si>
  <si>
    <t>GSDR_kW</t>
  </si>
  <si>
    <t>Recap Schedules:  E-13a</t>
  </si>
  <si>
    <t>SCHEDULE E-13c</t>
  </si>
  <si>
    <t>BASE REVENUE BY RATE SCHEDULE - CALCULATIONS</t>
  </si>
  <si>
    <t>FLORIDA PUBLIC SERVICE COMMISSION</t>
  </si>
  <si>
    <t xml:space="preserve">                       EXPLANATION:</t>
  </si>
  <si>
    <t xml:space="preserve">                   Type of data shown:</t>
  </si>
  <si>
    <t>COMPANY: TAMPA ELECTRIC COMPANY</t>
  </si>
  <si>
    <t xml:space="preserve">                  Rate Schedule</t>
  </si>
  <si>
    <t>RS, RSVP-1</t>
  </si>
  <si>
    <t>Line</t>
  </si>
  <si>
    <t>Type of</t>
  </si>
  <si>
    <t>Present Revenue Calculation</t>
  </si>
  <si>
    <t>Proposed Revenue Calculation</t>
  </si>
  <si>
    <t>Revenue</t>
  </si>
  <si>
    <t>Revenue Percent</t>
  </si>
  <si>
    <t>No.</t>
  </si>
  <si>
    <t>Charges</t>
  </si>
  <si>
    <t>Units</t>
  </si>
  <si>
    <t>Charge/Unit</t>
  </si>
  <si>
    <t>$ Revenue</t>
  </si>
  <si>
    <t>Difference</t>
  </si>
  <si>
    <t>Increase</t>
  </si>
  <si>
    <t>Basic Service Charge:</t>
  </si>
  <si>
    <t>Standard</t>
  </si>
  <si>
    <t>Days</t>
  </si>
  <si>
    <t xml:space="preserve"> RSVP-1</t>
  </si>
  <si>
    <t xml:space="preserve">Total </t>
  </si>
  <si>
    <t xml:space="preserve"> Total Days</t>
  </si>
  <si>
    <t xml:space="preserve"> Energy Charge:</t>
  </si>
  <si>
    <t>First 1,000 kWh</t>
  </si>
  <si>
    <t>All additional kWh</t>
  </si>
  <si>
    <t>Total</t>
  </si>
  <si>
    <t xml:space="preserve">Total Base Revenue: </t>
  </si>
  <si>
    <t>GS, GST</t>
  </si>
  <si>
    <t>Standard Metered</t>
  </si>
  <si>
    <t>Standard Unmetered</t>
  </si>
  <si>
    <t>T-O-D</t>
  </si>
  <si>
    <t>Total Days</t>
  </si>
  <si>
    <t>Energy Charge:</t>
  </si>
  <si>
    <t>T-O-D On-Peak</t>
  </si>
  <si>
    <t>T-O-D Off-Peak</t>
  </si>
  <si>
    <t>Emergency Relay Charge:</t>
  </si>
  <si>
    <t>RS/RSVP</t>
  </si>
  <si>
    <t>Current Rates</t>
  </si>
  <si>
    <t>Basic Charge</t>
  </si>
  <si>
    <t xml:space="preserve">   Standard</t>
  </si>
  <si>
    <t>RSVP</t>
  </si>
  <si>
    <t>Tier 1</t>
  </si>
  <si>
    <t>Tier 2</t>
  </si>
  <si>
    <t>GS/GST</t>
  </si>
  <si>
    <t xml:space="preserve">   Standard Metered</t>
  </si>
  <si>
    <t xml:space="preserve">    Standard Unmetered</t>
  </si>
  <si>
    <t xml:space="preserve">   Time-of-Day</t>
  </si>
  <si>
    <t xml:space="preserve">   Time-of-Day  On-Peak</t>
  </si>
  <si>
    <t xml:space="preserve">   Time-of-Day Off-Peak</t>
  </si>
  <si>
    <t>CS</t>
  </si>
  <si>
    <t xml:space="preserve">    Standard Secondary</t>
  </si>
  <si>
    <t xml:space="preserve">   Standard Sceondary</t>
  </si>
  <si>
    <t>GSD/GSDT/GSDO</t>
  </si>
  <si>
    <t xml:space="preserve">   Standard - Secondary</t>
  </si>
  <si>
    <t xml:space="preserve">   Standard - Primary</t>
  </si>
  <si>
    <t xml:space="preserve">   Standard - Subtrans</t>
  </si>
  <si>
    <t>GSDO</t>
  </si>
  <si>
    <t xml:space="preserve">    Optional - Secondary</t>
  </si>
  <si>
    <t xml:space="preserve">    Optional - Primary</t>
  </si>
  <si>
    <t>Optional -Subtrans</t>
  </si>
  <si>
    <t xml:space="preserve">    Time-of-Day - Secondary</t>
  </si>
  <si>
    <t xml:space="preserve">    Time-of-Day - Primary</t>
  </si>
  <si>
    <t xml:space="preserve">    Time-of-Day - Subtrans</t>
  </si>
  <si>
    <t xml:space="preserve">    Time-of-Day Secondary - On-Peak</t>
  </si>
  <si>
    <t xml:space="preserve">    Time-of-Day Primary - On-Peak</t>
  </si>
  <si>
    <t xml:space="preserve">    Time-of-Day Subtrans - On-Peak</t>
  </si>
  <si>
    <t xml:space="preserve">    Time-of-Day Secondary - Off-Peak</t>
  </si>
  <si>
    <t xml:space="preserve">    Time-of-Day Primary  - Off-Peak</t>
  </si>
  <si>
    <t xml:space="preserve">    Time-of-Day Subtrans - Off Peak</t>
  </si>
  <si>
    <t xml:space="preserve"> Demand Charge:</t>
  </si>
  <si>
    <t xml:space="preserve">   T-O-D Billing - Secondary</t>
  </si>
  <si>
    <t xml:space="preserve">   T-O-D Billing - Primary</t>
  </si>
  <si>
    <t xml:space="preserve">    T-O-D Billing - Subtrans</t>
  </si>
  <si>
    <t xml:space="preserve">   T-O-D Peak - Secondary</t>
  </si>
  <si>
    <t xml:space="preserve">   T-O-D Peak - Primary</t>
  </si>
  <si>
    <t xml:space="preserve">    T-O-D Peak - Subtrans</t>
  </si>
  <si>
    <t>Meter Level Discount:</t>
  </si>
  <si>
    <t xml:space="preserve">   Standard Primary</t>
  </si>
  <si>
    <t xml:space="preserve">    Optional Primary</t>
  </si>
  <si>
    <t xml:space="preserve">   Time-of-Day Primary</t>
  </si>
  <si>
    <t>Deliver Voltage Credit ( transformer ownership credit )</t>
  </si>
  <si>
    <t xml:space="preserve">   Optional Primary</t>
  </si>
  <si>
    <t xml:space="preserve">   Standard Secondary</t>
  </si>
  <si>
    <t xml:space="preserve">   Optional Secondary</t>
  </si>
  <si>
    <t xml:space="preserve">   Time-of-Day Secondary</t>
  </si>
  <si>
    <t>SBD/SBDT</t>
  </si>
  <si>
    <t xml:space="preserve">   Standard - Subtransmission</t>
  </si>
  <si>
    <t xml:space="preserve">    Time-of-Day Secondary</t>
  </si>
  <si>
    <t xml:space="preserve">    Time-of-Day Primary</t>
  </si>
  <si>
    <t xml:space="preserve">    Time-of-Day Subtrans.</t>
  </si>
  <si>
    <t>Energy Charge - Supplemental:</t>
  </si>
  <si>
    <t xml:space="preserve">   TOD Secondary - On-Peak</t>
  </si>
  <si>
    <t xml:space="preserve">   TOD Primary - On-peak</t>
  </si>
  <si>
    <t xml:space="preserve">   TOD Subtransmission - On-peak</t>
  </si>
  <si>
    <t xml:space="preserve">   TOD Secondary - Off-Peak</t>
  </si>
  <si>
    <t xml:space="preserve">   TOD Primary - Off-peak</t>
  </si>
  <si>
    <t xml:space="preserve">   TOD Subtransmission - Off-peak</t>
  </si>
  <si>
    <t>Energy Charge - Standby:</t>
  </si>
  <si>
    <t xml:space="preserve">   Standard-Secondary</t>
  </si>
  <si>
    <t xml:space="preserve">   Standard-Primary</t>
  </si>
  <si>
    <t xml:space="preserve">   Standard-Subtransmission</t>
  </si>
  <si>
    <t>Demand Charge - Supplemental:</t>
  </si>
  <si>
    <t xml:space="preserve">    Time-of-Day Secondary - Billing</t>
  </si>
  <si>
    <t xml:space="preserve">    Time-of-Day Primary  -  Billing</t>
  </si>
  <si>
    <t xml:space="preserve">    Time-of-Day Subtransmission - Billing</t>
  </si>
  <si>
    <t xml:space="preserve">    Time-of-Day Secondary - Peak</t>
  </si>
  <si>
    <t xml:space="preserve">    Time-of-Day Primary  -  Peak</t>
  </si>
  <si>
    <t xml:space="preserve">    Time-of-Day Subtransmission - Peak</t>
  </si>
  <si>
    <t>Demand Charge - Standby:</t>
  </si>
  <si>
    <t xml:space="preserve">    Std. Secondary - Facilities Reservation</t>
  </si>
  <si>
    <t xml:space="preserve">    Std. Primary - Facilities Reservation</t>
  </si>
  <si>
    <t xml:space="preserve">    Std. Subtrans. - Facilities Reservation</t>
  </si>
  <si>
    <t xml:space="preserve">    Std. Secondary - Power Supply Reservation</t>
  </si>
  <si>
    <t xml:space="preserve">    Std. Primary - Power Supply Reservation</t>
  </si>
  <si>
    <t xml:space="preserve">    Std. Subtrans. - Power Supply Reservation</t>
  </si>
  <si>
    <t xml:space="preserve">    Std. Secondary - Power Supply Demand</t>
  </si>
  <si>
    <t xml:space="preserve">    Std. Primary - Power Supply Demand</t>
  </si>
  <si>
    <t xml:space="preserve">    Std. Subtrans. - Power Supply Demand</t>
  </si>
  <si>
    <t xml:space="preserve">    TOD Secondary - Facilities Reservation</t>
  </si>
  <si>
    <t xml:space="preserve">    TOD Primary - Facilities Reservation</t>
  </si>
  <si>
    <t xml:space="preserve">    TOD Subtrans. - Facilities Reservation</t>
  </si>
  <si>
    <t xml:space="preserve">    TOD Secondary - Power Supply Reservation</t>
  </si>
  <si>
    <t xml:space="preserve">    TOD Primary - Power Supply Reservation</t>
  </si>
  <si>
    <t xml:space="preserve">    TOD Subtrans. - Power Supply Reservation</t>
  </si>
  <si>
    <t xml:space="preserve">    TOD Secondary - Power Supply Demand</t>
  </si>
  <si>
    <t xml:space="preserve">    TOD Primary - Power Supply Demand</t>
  </si>
  <si>
    <t xml:space="preserve">    TOD Subtrans. - Power Supply Demand</t>
  </si>
  <si>
    <t>Meter Level Discount - Supplemental &amp; Standby:</t>
  </si>
  <si>
    <t xml:space="preserve">   Time-of-Day Subtrans.</t>
  </si>
  <si>
    <t>Delivery Voltage Credit(Transformer Ownership Discount) - Supplemental:</t>
  </si>
  <si>
    <t>Delivery Voltage Credit (Transformer Ownership Discount) - Standby:</t>
  </si>
  <si>
    <t xml:space="preserve">    Standard Primary</t>
  </si>
  <si>
    <t xml:space="preserve">    Standard-Subtrans.</t>
  </si>
  <si>
    <t>Emergency Relay Charge - Supplemental &amp; Standby:</t>
  </si>
  <si>
    <t>Power Factor Charge:</t>
  </si>
  <si>
    <t>Power Factor Credit:</t>
  </si>
  <si>
    <t xml:space="preserve">   Time-of-Day - Subtrans</t>
  </si>
  <si>
    <t>GSLDPR/GSLDTPR</t>
  </si>
  <si>
    <t>Demand Charge:</t>
  </si>
  <si>
    <t xml:space="preserve">    Time-of-Day Primary- Billing</t>
  </si>
  <si>
    <t xml:space="preserve">    Time-of-Day Primary- Pk Billing</t>
  </si>
  <si>
    <t>Emergency Relay Service</t>
  </si>
  <si>
    <t>GSLDSU/GSLDTSU</t>
  </si>
  <si>
    <t xml:space="preserve">   Standard Subtrans.</t>
  </si>
  <si>
    <t xml:space="preserve">    Time-of-Day Subtrans. - On-Peak</t>
  </si>
  <si>
    <t xml:space="preserve">    Time-of-Day Subtrans. - Off-Peak</t>
  </si>
  <si>
    <t xml:space="preserve">    Time-of-Day Subtrans.-Billing</t>
  </si>
  <si>
    <t xml:space="preserve">    Time-of-Day Subtrans.-Pk Billing</t>
  </si>
  <si>
    <t>SBLDPR/SBLDTPR</t>
  </si>
  <si>
    <t xml:space="preserve">  Standard Primary</t>
  </si>
  <si>
    <t xml:space="preserve">   Standard -Pimary </t>
  </si>
  <si>
    <t xml:space="preserve">   Time-of-Day Primary - Billing</t>
  </si>
  <si>
    <t xml:space="preserve">   Time-of-Day Primary - Pk Billing</t>
  </si>
  <si>
    <t xml:space="preserve">    Std. Local Facilities Res. - Pri.</t>
  </si>
  <si>
    <t xml:space="preserve">    Std. Power Supply(Bulk Transm.) Reservation -Pri.</t>
  </si>
  <si>
    <t xml:space="preserve">    Std. Power supply (Bulk Transmission) Demand - Pri</t>
  </si>
  <si>
    <t xml:space="preserve">    TOD Local Facilities Res. - Pri.</t>
  </si>
  <si>
    <t xml:space="preserve">    TOD Power Supply(Bulk Transm.) Reservation -Pri.</t>
  </si>
  <si>
    <t xml:space="preserve">    TOD Power supply (Bulk Transmission) Demand - Pri</t>
  </si>
  <si>
    <t xml:space="preserve">   Time-of-Day  Primary</t>
  </si>
  <si>
    <t>SBLDSU/SBLDTSU</t>
  </si>
  <si>
    <t xml:space="preserve">   Time-of-Day Subtransmission</t>
  </si>
  <si>
    <t xml:space="preserve">    Standard-Subtransmission </t>
  </si>
  <si>
    <t xml:space="preserve">   Time-of-Day Subtransmission - Billing</t>
  </si>
  <si>
    <t xml:space="preserve">   Time-of-Day Subtransmission - Pk Billing</t>
  </si>
  <si>
    <t xml:space="preserve">    Std. Local Facilities Res. - Subtrans.</t>
  </si>
  <si>
    <t xml:space="preserve">    Std. Bulk Transm. Reservation -Subtrans.</t>
  </si>
  <si>
    <t xml:space="preserve">    Std. Bulk Transmission Demand - Subtrans.</t>
  </si>
  <si>
    <t xml:space="preserve">    TOD Local Facilities Res. - Subtrans.</t>
  </si>
  <si>
    <t xml:space="preserve">    TOD Bulk Transm. Reservation -Subtrans.</t>
  </si>
  <si>
    <t xml:space="preserve">    TOD Bulk Transmission Demand - Subtrans.</t>
  </si>
  <si>
    <t>LS1/LS2</t>
  </si>
  <si>
    <t>Basic Charge  (Metered St. Lts):</t>
  </si>
  <si>
    <t>RS Tier 1 Energy Charge</t>
  </si>
  <si>
    <t>RS Tier 2 Energy Charge</t>
  </si>
  <si>
    <t>GS Metered Energy Charge</t>
  </si>
  <si>
    <t>GS Unmetered Energy Charge</t>
  </si>
  <si>
    <t>GST On-Peak Energy Charge</t>
  </si>
  <si>
    <t>GST Off-Peak Energy Charge</t>
  </si>
  <si>
    <t>Original Title</t>
  </si>
  <si>
    <t>GS Emergency Relay Charge</t>
  </si>
  <si>
    <t>GST Emergency Relay Charge</t>
  </si>
  <si>
    <t>CS Energy Charge</t>
  </si>
  <si>
    <t>GSD Energy Charge Secondary</t>
  </si>
  <si>
    <t>GSD Energy Charge Primary</t>
  </si>
  <si>
    <t>GSD Energy Charge Subtransmission</t>
  </si>
  <si>
    <t>Description</t>
  </si>
  <si>
    <t>LS Energy Charge</t>
  </si>
  <si>
    <t>GSDO Energy Charge Secondary</t>
  </si>
  <si>
    <t>GSDO Energy Charge Primary</t>
  </si>
  <si>
    <t>GSDO Energy Charge Subtransmission</t>
  </si>
  <si>
    <t>GSDT On-Peak Energy Charge Secondary</t>
  </si>
  <si>
    <t>GSDT On-Peak Energy Charge Primary</t>
  </si>
  <si>
    <t>GSDT Off-Peak Energy Charge Secondary</t>
  </si>
  <si>
    <t>GSDT On-Peak Energy Charge Subtransmission</t>
  </si>
  <si>
    <t>GSDT Off-Peak Energy Charge Primary</t>
  </si>
  <si>
    <t>GSDT Off-Peak Energy Charge Subtransmission</t>
  </si>
  <si>
    <t>GSD Demand Charge Primary</t>
  </si>
  <si>
    <t>GSD Demand Charge Subtransmission</t>
  </si>
  <si>
    <t>GSDO Demand Charge Secondary</t>
  </si>
  <si>
    <t>GSDO Demand Charge Primary</t>
  </si>
  <si>
    <t>GSDO Demand Charge Subtransmission</t>
  </si>
  <si>
    <t>GSD Demand Charge Secondary</t>
  </si>
  <si>
    <t>GSD Meter Level Discount Primary</t>
  </si>
  <si>
    <t>GSD Meter Level Discount Subtransmission</t>
  </si>
  <si>
    <t>GSDO Meter Level Discount Primary</t>
  </si>
  <si>
    <t>GSDO Meter Level Discount Subtransmission</t>
  </si>
  <si>
    <t>GSDT Meter Level Discount Primary</t>
  </si>
  <si>
    <t>GSDT Meter Level Discount Subtransmission</t>
  </si>
  <si>
    <t>GSD Delivery Voltage Credit Subtransmission</t>
  </si>
  <si>
    <t>GSDO Delivery Voltage Credit Primary</t>
  </si>
  <si>
    <t>GSDO Delivery Voltage Credit Subtransmission</t>
  </si>
  <si>
    <t>GSDT Delivery Voltage Credit Primary</t>
  </si>
  <si>
    <t>GSDT Delivery Voltage Credit Subtransmission</t>
  </si>
  <si>
    <t>GSD Delivery Voltage Credit Primary</t>
  </si>
  <si>
    <t>GSD Emergency Relay Charge Primary</t>
  </si>
  <si>
    <t>GSD Emergency Relay Charge Subtransmission</t>
  </si>
  <si>
    <t>GSDO Emergency Relay Charge Secondary</t>
  </si>
  <si>
    <t>GSDO Emergency Relay Charge Primary</t>
  </si>
  <si>
    <t>GSDO Emergency Relay Charge Subtransmission</t>
  </si>
  <si>
    <t>GSDT Emergency Relay Charge Secondary</t>
  </si>
  <si>
    <t>GSDT Emergency Relay Charge Primary</t>
  </si>
  <si>
    <t>GSDT Emergency Relay Charge Subtransmission</t>
  </si>
  <si>
    <t>GSD Emergency Relay Charge Secondary</t>
  </si>
  <si>
    <t>RS Basic Service Charge</t>
  </si>
  <si>
    <t>RSVP Basic Service Charge</t>
  </si>
  <si>
    <t>GS Metered Basic Service Charge</t>
  </si>
  <si>
    <t>GS Unmetered Basic Service Charge</t>
  </si>
  <si>
    <t>GST Basic Service Charge</t>
  </si>
  <si>
    <t>CS Basic Service Charge</t>
  </si>
  <si>
    <t>GSD Basic Service Charge Secondary</t>
  </si>
  <si>
    <t>GSD Basic Service Charge Primary</t>
  </si>
  <si>
    <t>GSD Basic Service Charge Subtransmission</t>
  </si>
  <si>
    <t>GSDO Basic Service Charge Secondary</t>
  </si>
  <si>
    <t>GSDO Basic Service Charge Primary</t>
  </si>
  <si>
    <t>GSDO Basic Service Charge Subtransmission</t>
  </si>
  <si>
    <t>GSDT Basic Service Charge Secondary</t>
  </si>
  <si>
    <t>GSDT Basic Service Charge Primary</t>
  </si>
  <si>
    <t>GSDT Basic Service Charge Subtransmission</t>
  </si>
  <si>
    <t>LS Basic Service Charge</t>
  </si>
  <si>
    <t>RSVP Energy Charge</t>
  </si>
  <si>
    <t>Billing Determinant</t>
  </si>
  <si>
    <t>Rate Description</t>
  </si>
  <si>
    <t>SBD Basic Service Charge Secondary</t>
  </si>
  <si>
    <t>SBD Basic Service Charge Primary</t>
  </si>
  <si>
    <t>SBD Basic Service Charge Subtransmission</t>
  </si>
  <si>
    <t>SBDT Basic Service Charge Secondary</t>
  </si>
  <si>
    <t>SBDT Basic Service Charge Primary</t>
  </si>
  <si>
    <t>SBDT Basic Service Charge Subtransmission</t>
  </si>
  <si>
    <t>SBLDSU Basic Service Charge</t>
  </si>
  <si>
    <t>SBLDTSU Basic Service Charge</t>
  </si>
  <si>
    <t>SBLDSU Supplemental Energy Charge</t>
  </si>
  <si>
    <t>SBLDTSU Supplemental On-Peak Energy Charge</t>
  </si>
  <si>
    <t>SBLDTSU Supplemental Off-Peak Energy Charge</t>
  </si>
  <si>
    <t>SBLDSU Standby Energy Charge</t>
  </si>
  <si>
    <t>SBLDTSU Standby On-Peak Energy Charge</t>
  </si>
  <si>
    <t>SBLDTSU Standby Off-Peak Energy Charge</t>
  </si>
  <si>
    <t>SBD Supplemental Energy Charge Secondary</t>
  </si>
  <si>
    <t>SBD Supplemental Energy Charge Primary</t>
  </si>
  <si>
    <t>SBD Supplemental Energy Charge Subtransmission</t>
  </si>
  <si>
    <t>SBDT Supplemental On-Peak Energy Charge Secondary</t>
  </si>
  <si>
    <t>SBDT Supplemental On-Peak Energy Charge Primary</t>
  </si>
  <si>
    <t>SBDT Supplemental On-Peak Energy Charge Subtransmission</t>
  </si>
  <si>
    <t>SBDT Supplemental Off-Peak Energy Charge Primary</t>
  </si>
  <si>
    <t>SBDT Supplemental Off-Peak Energy Charge Subtransmission</t>
  </si>
  <si>
    <t>SBDT Supplemental Off-Peak Energy Charge Secondary</t>
  </si>
  <si>
    <t>SBD Standby Energy Charge Primary</t>
  </si>
  <si>
    <t>SBD Standby Energy Charge Subtransmission</t>
  </si>
  <si>
    <t>SBDT Standby On-Peak Energy Charge Secondary</t>
  </si>
  <si>
    <t>SBDT Standby On-Peak Energy Charge Primary</t>
  </si>
  <si>
    <t>SBDT Standby On-Peak Energy Charge Subtransmission</t>
  </si>
  <si>
    <t>SBDT Standby Off-Peak Energy Charge Secondary</t>
  </si>
  <si>
    <t>SBDT Standby Off-Peak Energy Charge Primary</t>
  </si>
  <si>
    <t>SBDT Standby Off-Peak Energy Charge Subtransmission</t>
  </si>
  <si>
    <t>SBD Standby Energy Charge Secondary</t>
  </si>
  <si>
    <t>SBD Supplemental Demand Charge Primary</t>
  </si>
  <si>
    <t>SBD Supplemental Demand Charge Secondary</t>
  </si>
  <si>
    <t>SBD Supplemental Demand Charge Subtransmission</t>
  </si>
  <si>
    <t>SBDT Supplemental Billing Demand Secondary</t>
  </si>
  <si>
    <t>SBDT Supplemental Billing Demand Primary</t>
  </si>
  <si>
    <t>SBDT Supplemental Billing Demand Subtransmission</t>
  </si>
  <si>
    <t>SBDT Supplemental Peak Demand Secondary</t>
  </si>
  <si>
    <t>SBDT Supplemental Peak Demand Primary</t>
  </si>
  <si>
    <t>SBDT Supplemental Peak Demand Subtransmission</t>
  </si>
  <si>
    <t>SBLDSU Supplemental Demand Charge</t>
  </si>
  <si>
    <t>SBLDSU Local Facilities Reservation Charge</t>
  </si>
  <si>
    <t>SBLDSU Power Supply Reservation Charge</t>
  </si>
  <si>
    <t>SBLDTSU Supplemental Billing Demand Charge</t>
  </si>
  <si>
    <t>SBLDTSU Supplemental Peak Demand Charge</t>
  </si>
  <si>
    <t>SBLDSU Power Supply Demand Charge</t>
  </si>
  <si>
    <t>SBLDTSU Local Facilities Reservation Charge</t>
  </si>
  <si>
    <t>SBLDTSU Power Supply Reservation Charge</t>
  </si>
  <si>
    <t>SBLDTSU Power Supply Demand Charge</t>
  </si>
  <si>
    <t>SBLDSU Power Factor Charge</t>
  </si>
  <si>
    <t>SBLDSTSU Power Factor Charge</t>
  </si>
  <si>
    <t>SBLDSU Power Factor Credit</t>
  </si>
  <si>
    <t>SBLDSTSU Power Factor Credit</t>
  </si>
  <si>
    <t>SBLDSU Emergency Relay Power Supply Charge</t>
  </si>
  <si>
    <t>SBLDTSU Emergency Relay Power Supply Charge</t>
  </si>
  <si>
    <t>SBLDPR Meter Voltage Adjustment</t>
  </si>
  <si>
    <t>SBLDTPR Meter Voltage Adjustment</t>
  </si>
  <si>
    <t>SBLDPR Supplemental Energy Charge</t>
  </si>
  <si>
    <t>SBLDPR Standby Energy Charge</t>
  </si>
  <si>
    <t>SBLDPR Supplemental Demand Charge</t>
  </si>
  <si>
    <t>SBLDPR Local Facilities Reservation Charge</t>
  </si>
  <si>
    <t>SBLDPR Power Supply Reservation Charge</t>
  </si>
  <si>
    <t>SBLDPR Power Supply Demand Charge</t>
  </si>
  <si>
    <t>SBLDPR Power Factor Charge</t>
  </si>
  <si>
    <t>SBLDPR Power Factor Credit</t>
  </si>
  <si>
    <t>SBLDPR Emergency Relay Power Supply Charge</t>
  </si>
  <si>
    <t>SBLDPR Basic Service Charge</t>
  </si>
  <si>
    <t>SBLDTPR Basic Service Charge</t>
  </si>
  <si>
    <t>SBLDTPR Supplemental On-Peak Energy Charge</t>
  </si>
  <si>
    <t>SBLDTPR Supplemental Off-Peak Energy Charge</t>
  </si>
  <si>
    <t>SBLDTPR Standby On-Peak Energy Charge</t>
  </si>
  <si>
    <t>SBLDTPR Standby Off-Peak Energy Charge</t>
  </si>
  <si>
    <t>SBLDTPR Supplemental Billing Demand Charge</t>
  </si>
  <si>
    <t>SBLDTPR Supplemental Peak Demand Charge</t>
  </si>
  <si>
    <t>SBLDTPR Local Facilities Reservation Charge</t>
  </si>
  <si>
    <t>SBLDTPR Power Supply Reservation Charge</t>
  </si>
  <si>
    <t>SBLDTPR Power Supply Demand Charge</t>
  </si>
  <si>
    <t>SBLDTPR Emergency Relay Power Supply Charge</t>
  </si>
  <si>
    <t>SBD Local Facilities Reservation Charge Secondary</t>
  </si>
  <si>
    <t>SBD Local Facilities Reservation Charge Primary</t>
  </si>
  <si>
    <t>SBD Local Facilities Reservation Charge Subtransmission</t>
  </si>
  <si>
    <t>SBD Power Supply Reservation Charge Secondary</t>
  </si>
  <si>
    <t>SBD Power Supply Reservation Charge Primary</t>
  </si>
  <si>
    <t>SBD Power Supply Reservation Charge Subtransmission</t>
  </si>
  <si>
    <t>SBD Power Supply Demand Charge Secondary</t>
  </si>
  <si>
    <t>SBD Power Supply Demand Charge Primary</t>
  </si>
  <si>
    <t>SBD Power Supply Demand Charge Subtransmission</t>
  </si>
  <si>
    <t>SBDT Local Facilities Reservation Charge Primary</t>
  </si>
  <si>
    <t>SBDT Local Facilities Reservation Charge Subtransmission</t>
  </si>
  <si>
    <t>SBDT Power Supply Reservation Charge Secondary</t>
  </si>
  <si>
    <t>SBDT Power Supply Reservation Charge Primary</t>
  </si>
  <si>
    <t>SBDT Power Supply Reservation Charge Subtransmission</t>
  </si>
  <si>
    <t>SBDT Power Supply Demand Charge Secondary</t>
  </si>
  <si>
    <t>SBDT Power Supply Demand Charge Primary</t>
  </si>
  <si>
    <t>SBDT Power Supply Demand Charge Subtransmission</t>
  </si>
  <si>
    <t>SBDT Local Facilities Reservation Charge Secondary</t>
  </si>
  <si>
    <t>SBD Meter Voltage Adjustment Primary</t>
  </si>
  <si>
    <t>SBD Meter Voltage Adjustment Subtransmission</t>
  </si>
  <si>
    <t>SBDT Meter Voltage Adjustment Primary</t>
  </si>
  <si>
    <t>SBDT Meter Voltage Adjustment Subtransmission</t>
  </si>
  <si>
    <t>SBD Supplemental Delivery Voltage Credit Primary</t>
  </si>
  <si>
    <t>SBD Supplemental Delivery Voltage Credit Subtransmission</t>
  </si>
  <si>
    <t>SBDT Supplemental Delivery Voltage Credit Primary</t>
  </si>
  <si>
    <t>SBDT Supplemental Delivery Voltage Credit Subtransmission</t>
  </si>
  <si>
    <t>SBD Standby Delivery Voltage Credit Subtransmission</t>
  </si>
  <si>
    <t>SBDT Standby Delivery Voltage Credit Primary</t>
  </si>
  <si>
    <t>SBDT Standby Delivery Voltage Credit Subtransmission</t>
  </si>
  <si>
    <t>SBD Standby Delivery Voltage Credit Primary</t>
  </si>
  <si>
    <t>SBD Emergency Relay Power Supply Charge Secondary</t>
  </si>
  <si>
    <t>SBD Emergency Relay Power Supply Charge Primary</t>
  </si>
  <si>
    <t>SBD Emergency Relay Power Supply Charge Subtransmission</t>
  </si>
  <si>
    <t>SBDT Emergency Relay Power Supply Charge Secondary</t>
  </si>
  <si>
    <t>SBDT Emergency Relay Power Supply Charge Primary</t>
  </si>
  <si>
    <t>SBDT Emergency Relay Power Supply Charge Subtransmission</t>
  </si>
  <si>
    <t>SBD Power Factor Charge Secondary</t>
  </si>
  <si>
    <t>SBD Power Factor Charge Primary</t>
  </si>
  <si>
    <t>SBD Power Factor Charge Subtransmission</t>
  </si>
  <si>
    <t>SBDT Power Factor Charge Secondary</t>
  </si>
  <si>
    <t>SBDT Power Factor Charge Primary</t>
  </si>
  <si>
    <t>SBDT Power Factor Charge Subtransmission</t>
  </si>
  <si>
    <t>SBD Power Factor Credit Primary</t>
  </si>
  <si>
    <t>SBD Power Factor Credit Subtransmission</t>
  </si>
  <si>
    <t>SBDT Power Factor Credit Secondary</t>
  </si>
  <si>
    <t>SBDT Power Factor Credit Primary</t>
  </si>
  <si>
    <t>SBDT Power Factor Credit Subtransmission</t>
  </si>
  <si>
    <t>SBD Power Factor Credit Secondary</t>
  </si>
  <si>
    <t>GSLDPR Basic Service Charge</t>
  </si>
  <si>
    <t>GSLDTPR Basic Service Charge</t>
  </si>
  <si>
    <t>GSLDPR Energy Charge</t>
  </si>
  <si>
    <t>GSLDTPR On-Peak Energy Charge</t>
  </si>
  <si>
    <t>GSLDTPR Off-Peak Energy Charge</t>
  </si>
  <si>
    <t>GSLDPR Demand Charge</t>
  </si>
  <si>
    <t>GSLDTPR Billing Demand Charge</t>
  </si>
  <si>
    <t>GSLDTPR Peak Demand Charge</t>
  </si>
  <si>
    <t>GSLDPR Power Factor Charge</t>
  </si>
  <si>
    <t>GSLDTPR Power Factor Charge</t>
  </si>
  <si>
    <t>GSLDPR Power Factor Credit</t>
  </si>
  <si>
    <t>GSLDTPR Power Factor Credit</t>
  </si>
  <si>
    <t>GSLDPR Emergency Relay Power Supply Charge</t>
  </si>
  <si>
    <t>GSLDTPR Emergency Relay Power Supply Charge</t>
  </si>
  <si>
    <t>GSLDPR Meter Voltage Adjustment</t>
  </si>
  <si>
    <t>GSLDTPR Meter Voltage Adjustment</t>
  </si>
  <si>
    <t>GSLDSU Energy Charge</t>
  </si>
  <si>
    <t>GSLDSU Demand Charge</t>
  </si>
  <si>
    <t>GSLDSU Power Factor Charge</t>
  </si>
  <si>
    <t>GSLDSU Power Factor Credit</t>
  </si>
  <si>
    <t>GSLDSU Emergency Relay Power Supply Charge</t>
  </si>
  <si>
    <t>GSLDSU Basic Service Charge</t>
  </si>
  <si>
    <t>GSLDTSU Basic Service Charge</t>
  </si>
  <si>
    <t>GSLDTSU On-Peak Energy Charge</t>
  </si>
  <si>
    <t>GSLDTSU Off-Peak Energy Charge</t>
  </si>
  <si>
    <t>GSLDTSU Billing Demand Charge</t>
  </si>
  <si>
    <t>GSLDTSU Peak Demand Charge</t>
  </si>
  <si>
    <t>GSLDTSU Power Factor Charge</t>
  </si>
  <si>
    <t>GSLDTSU Power Factor Credit</t>
  </si>
  <si>
    <t>GSLDTSU Emergency Relay Power Supply Charge</t>
  </si>
  <si>
    <t>kWh</t>
  </si>
  <si>
    <t>Manual Input Target</t>
  </si>
  <si>
    <t>Achieved Target</t>
  </si>
  <si>
    <t>Percent Increase</t>
  </si>
  <si>
    <t>Page No.</t>
  </si>
  <si>
    <t>Rate Schedule</t>
  </si>
  <si>
    <t xml:space="preserve">GSD Optional </t>
  </si>
  <si>
    <t>TOTAL</t>
  </si>
  <si>
    <t>GSD,GSDT</t>
  </si>
  <si>
    <t>Standard - Subtransmission</t>
  </si>
  <si>
    <t xml:space="preserve">    T-O-D - Secondary</t>
  </si>
  <si>
    <t xml:space="preserve">    T-O-D - Primary</t>
  </si>
  <si>
    <t>T-O-D - Subtransmission</t>
  </si>
  <si>
    <t xml:space="preserve">   T-O-D On-Peak - Secondary</t>
  </si>
  <si>
    <t xml:space="preserve">   T-O-D On-Peak - Primary</t>
  </si>
  <si>
    <t xml:space="preserve">   T-O-D On-Peak - Subtrans.</t>
  </si>
  <si>
    <t xml:space="preserve">   T-O-D Off-Peak - Secondary</t>
  </si>
  <si>
    <t xml:space="preserve">   T-O-D Off-Peak - Primary</t>
  </si>
  <si>
    <t xml:space="preserve">   T-O-D Off-Peak - Subtrans.</t>
  </si>
  <si>
    <t>kW</t>
  </si>
  <si>
    <t xml:space="preserve">   T-O-D Billing - Subtrans.</t>
  </si>
  <si>
    <t>kW  (1)</t>
  </si>
  <si>
    <t xml:space="preserve">   T-O-D Peak - Subtrans.</t>
  </si>
  <si>
    <t>Delivery Voltage Credit:</t>
  </si>
  <si>
    <t xml:space="preserve">   T-O-D Primary</t>
  </si>
  <si>
    <t>T-O-D Subtransmission</t>
  </si>
  <si>
    <t xml:space="preserve">   T-O-D Secondary</t>
  </si>
  <si>
    <t>Optional - Secondary</t>
  </si>
  <si>
    <t>Optional - Primary</t>
  </si>
  <si>
    <t xml:space="preserve">Optional - Subtransmission </t>
  </si>
  <si>
    <t>Emergency Relay</t>
  </si>
  <si>
    <t>GSLDPR, GSDLTPR</t>
  </si>
  <si>
    <t>(1)  Not included in Total.</t>
  </si>
  <si>
    <t>GSLDSU, GSDLTSU</t>
  </si>
  <si>
    <t>SBLDPR,SBLDTPR</t>
  </si>
  <si>
    <t>Standard Primary</t>
  </si>
  <si>
    <t xml:space="preserve">    T-O-D Primary </t>
  </si>
  <si>
    <t xml:space="preserve">      Total</t>
  </si>
  <si>
    <t xml:space="preserve">    T-O-D On-Peak - Primary</t>
  </si>
  <si>
    <t xml:space="preserve">    T-O-D Off-Peak - Primary</t>
  </si>
  <si>
    <t>total</t>
  </si>
  <si>
    <t xml:space="preserve">    T-O-D Billing - Primary </t>
  </si>
  <si>
    <t xml:space="preserve">    T-O-D Peak - Primary</t>
  </si>
  <si>
    <t xml:space="preserve">   Std. Facilities Reservation - Pri. </t>
  </si>
  <si>
    <t xml:space="preserve">   Std. Power Supply Res. - Pri.</t>
  </si>
  <si>
    <t>kW (1)</t>
  </si>
  <si>
    <t xml:space="preserve">/ kW-mo. </t>
  </si>
  <si>
    <t xml:space="preserve">   Std. Power Supply Dmd. - Pri.</t>
  </si>
  <si>
    <t xml:space="preserve">/ kW-day </t>
  </si>
  <si>
    <t xml:space="preserve">T-O-D Facilities Reservation - Pri. </t>
  </si>
  <si>
    <t>T-O-D Power Supply Res. - Pri.</t>
  </si>
  <si>
    <t xml:space="preserve"> kW-mo. </t>
  </si>
  <si>
    <t>T-O-D Power Supply Dmd. - Pri.</t>
  </si>
  <si>
    <t xml:space="preserve"> kW-day </t>
  </si>
  <si>
    <t>Power Factor Charge Supplemental &amp; Standby:</t>
  </si>
  <si>
    <t>Power Factor Credit Supplemental &amp; Standby:</t>
  </si>
  <si>
    <t>Emergency Relay Charge - Supplemental and Standby.</t>
  </si>
  <si>
    <t>SBLDSU,SBLDTSU</t>
  </si>
  <si>
    <t>Standard Subtransmission</t>
  </si>
  <si>
    <t xml:space="preserve">    T-O-D Subtransmission</t>
  </si>
  <si>
    <t xml:space="preserve">    T-O-D Peak - Subtransmission</t>
  </si>
  <si>
    <t xml:space="preserve"> (1) Not included in Total.</t>
  </si>
  <si>
    <t>Standard Secondary</t>
  </si>
  <si>
    <t xml:space="preserve">    T-O-D Secondary</t>
  </si>
  <si>
    <t xml:space="preserve">    T-O-D On-Peak - Secondary</t>
  </si>
  <si>
    <t xml:space="preserve">    T-O-D On-Peak - Subtrans.</t>
  </si>
  <si>
    <t xml:space="preserve">    T-O-D Off-Peak - Secondary</t>
  </si>
  <si>
    <t xml:space="preserve">    T-O-D Off-Peak - Subtrans.</t>
  </si>
  <si>
    <t xml:space="preserve">    Standard Subtransmission</t>
  </si>
  <si>
    <t xml:space="preserve">    T-O-D On-Peak -Secondary</t>
  </si>
  <si>
    <t xml:space="preserve">    T-O-D Off-Peak -Secondary</t>
  </si>
  <si>
    <t xml:space="preserve">    T-O-D Billing - Secondary</t>
  </si>
  <si>
    <t xml:space="preserve">    T-O-D billing - Subtransmission</t>
  </si>
  <si>
    <t xml:space="preserve">    T-O-D Peak - Secondary</t>
  </si>
  <si>
    <t>Std. Facilities Reservation - Sec.</t>
  </si>
  <si>
    <t xml:space="preserve">Std. Facilities Reservation - Pri. </t>
  </si>
  <si>
    <t>Std. Facilities Reservation - Sub.</t>
  </si>
  <si>
    <t>Std. Power Supply Res. - Sec.</t>
  </si>
  <si>
    <t>Std. Power Supply Res. - Pri.</t>
  </si>
  <si>
    <t>Std. Power Supply Res. - Sub.</t>
  </si>
  <si>
    <t>Std. Power Supply Dmd. - Sec.</t>
  </si>
  <si>
    <t>Std. Power Supply Dmd. - Pri.</t>
  </si>
  <si>
    <t>Std. Power Supply Dmd. - Sub.</t>
  </si>
  <si>
    <t>T-O-D Facilities Reservation - Sec.</t>
  </si>
  <si>
    <t>T-O-D Facilities Reservation - Sub.</t>
  </si>
  <si>
    <t>T-O-D Power Supply Res. - Sec.</t>
  </si>
  <si>
    <t>T-O-D Power Supply Res. - Sub.</t>
  </si>
  <si>
    <t>T-O-D Power Supply Dmd. - Sec.</t>
  </si>
  <si>
    <t>T-O-D Power Supply Dmd. - Sub.</t>
  </si>
  <si>
    <t>Continued from Page 14</t>
  </si>
  <si>
    <t>Delivery Voltage Credit - Supplemental.:</t>
  </si>
  <si>
    <t>Delivery Voltage Credit. - Standby.:</t>
  </si>
  <si>
    <t xml:space="preserve">    Std.  Primary </t>
  </si>
  <si>
    <t xml:space="preserve">    Std. Subtransmission</t>
  </si>
  <si>
    <t>Continued from Page 15</t>
  </si>
  <si>
    <t>Metering Voltage Adjustment - Supplemental and Stanby.:</t>
  </si>
  <si>
    <t>$</t>
  </si>
  <si>
    <t>LS-1,LS-2</t>
  </si>
  <si>
    <t>Energy Charge</t>
  </si>
  <si>
    <t>Secondary BD</t>
  </si>
  <si>
    <t>Continued from Page 5</t>
  </si>
  <si>
    <t>Metering Voltage Adjustment:</t>
  </si>
  <si>
    <t>Meter Voltage Adjustment</t>
  </si>
  <si>
    <t>Rate Class</t>
  </si>
  <si>
    <t>RS</t>
  </si>
  <si>
    <t>GS</t>
  </si>
  <si>
    <t>GSD</t>
  </si>
  <si>
    <t>GSLDPR</t>
  </si>
  <si>
    <t>GSLDSU</t>
  </si>
  <si>
    <t>LSENERGY</t>
  </si>
  <si>
    <t>LSFACILITIES</t>
  </si>
  <si>
    <t>GSDT Billing Demand Charge Secondary</t>
  </si>
  <si>
    <t>GSDT Billing Demand Charge Primary</t>
  </si>
  <si>
    <t>GSDT Billing Demand Charge Subtransmission</t>
  </si>
  <si>
    <t>GSDT Peak Demand Charge Secondary</t>
  </si>
  <si>
    <t>GSDT Peak Demand Charge Primary</t>
  </si>
  <si>
    <t>GSDT Peak Demand Charge Subtransmission</t>
  </si>
  <si>
    <t>BillDeter_SBD.kVarh_Chg_kw_SEC</t>
  </si>
  <si>
    <t>BillDeter_SBD.kVarh_Chg_kw_PRI</t>
  </si>
  <si>
    <t>BillDeter_SBD.kVarh_Chg_kw_SUB</t>
  </si>
  <si>
    <t>BillDeter_SBD.kVarh_Crd_kw_SEC</t>
  </si>
  <si>
    <t>BillDeter_SBD.kVarh_Crd_kw_PRI</t>
  </si>
  <si>
    <t>BillDeter_SBD.kVarh_Crd_kw_SUB</t>
  </si>
  <si>
    <t>BillDeter_SBDT.kVarh_Chg_kw_SEC</t>
  </si>
  <si>
    <t>BillDeter_SBDT.kVarh_Chg_kw_PRI</t>
  </si>
  <si>
    <t>BillDeter_SBDT.kVarh_Chg_kw_SUB</t>
  </si>
  <si>
    <t>BillDeter_SBDT.kVarh_Crd_kw_SEC</t>
  </si>
  <si>
    <t>BillDeter_SBDT.kVarh_Crd_kw_PRI</t>
  </si>
  <si>
    <t>BillDeter_SBDT.kVarh_Crd_kw_SUB</t>
  </si>
  <si>
    <t>kVARh</t>
  </si>
  <si>
    <t>Delivery Voltage Credit</t>
  </si>
  <si>
    <t>Continued from Page 10</t>
  </si>
  <si>
    <t>BillDeter_GSLD_SU.Billing_kW</t>
  </si>
  <si>
    <t>SCHEDULE E-13a</t>
  </si>
  <si>
    <t>REVENUE FROM SALE OF ELECTRICITY BY RATE SCHEDULE</t>
  </si>
  <si>
    <t xml:space="preserve">       Type of data shown:</t>
  </si>
  <si>
    <t>(1)</t>
  </si>
  <si>
    <t>(2)</t>
  </si>
  <si>
    <t>(3)</t>
  </si>
  <si>
    <t>(4)</t>
  </si>
  <si>
    <t>Base</t>
  </si>
  <si>
    <t>Revenue under</t>
  </si>
  <si>
    <t>Present</t>
  </si>
  <si>
    <t>Proposed</t>
  </si>
  <si>
    <t>Dollars</t>
  </si>
  <si>
    <t>Percent</t>
  </si>
  <si>
    <t>Rate</t>
  </si>
  <si>
    <t>Rates</t>
  </si>
  <si>
    <t>(2) - (1)</t>
  </si>
  <si>
    <t>(3) / (1)</t>
  </si>
  <si>
    <t>RS,  RSVP-1</t>
  </si>
  <si>
    <t xml:space="preserve">GS, GST </t>
  </si>
  <si>
    <t>GSLDPR,GSLDTPR</t>
  </si>
  <si>
    <t>GSLDSU,GSLDTSU</t>
  </si>
  <si>
    <t>SBD,SBDT</t>
  </si>
  <si>
    <t xml:space="preserve">LS-1,LS-2 (Energy Service) </t>
  </si>
  <si>
    <t>Additional Base Charges</t>
  </si>
  <si>
    <t>Summary by Rate Class</t>
  </si>
  <si>
    <t>LS Energy</t>
  </si>
  <si>
    <t>LS Facilities</t>
  </si>
  <si>
    <t>Supporting Schedules: E-13c &amp; E-13d</t>
  </si>
  <si>
    <t>Proposed Rates</t>
  </si>
  <si>
    <t>Page 1 of 18</t>
  </si>
  <si>
    <t>Page 2 of 18</t>
  </si>
  <si>
    <t>Page 3  of 18</t>
  </si>
  <si>
    <t>Page 4  of 18</t>
  </si>
  <si>
    <t>Page 5 of 18</t>
  </si>
  <si>
    <t>Page 6 of 18</t>
  </si>
  <si>
    <t>Page 7 of 18</t>
  </si>
  <si>
    <t>Page 8 of 18</t>
  </si>
  <si>
    <t>Page 9 of 18</t>
  </si>
  <si>
    <t>Page 10 of 18</t>
  </si>
  <si>
    <t>Page 11 of 18</t>
  </si>
  <si>
    <t>Page 12 of 18</t>
  </si>
  <si>
    <t>Page 13 of 18</t>
  </si>
  <si>
    <t>Page 14 of 18</t>
  </si>
  <si>
    <t>Page 15 of 18</t>
  </si>
  <si>
    <t>Page 16 of 18</t>
  </si>
  <si>
    <t>Page 17 of 18</t>
  </si>
  <si>
    <t>Page 18  of 18</t>
  </si>
  <si>
    <t>BillDeter_GST.Energy_Off2</t>
  </si>
  <si>
    <t>BillDeter_GSDT.Energy_OffPk2</t>
  </si>
  <si>
    <t>BillDeter_GSDT.Energy_Off2_SEC</t>
  </si>
  <si>
    <t>BillDeter_GSDT.Energy_Off2_PRI</t>
  </si>
  <si>
    <t>BillDeter_GSDT.Energy_Off2_SUB</t>
  </si>
  <si>
    <t>BillDeter_SBDT.Energy_SUPP_OffPk2</t>
  </si>
  <si>
    <t>BillDeter_SBDT.Energy_SUPP_Off2_SEC</t>
  </si>
  <si>
    <t>BillDeter_SBDT.Energy_SUPP_Off2_PRI</t>
  </si>
  <si>
    <t>BillDeter_SBDT.Energy_SUPP_Off2_SUB</t>
  </si>
  <si>
    <t>BillDeter_SBDT.Energy_SB_OffPk2</t>
  </si>
  <si>
    <t>BillDeter_SBDT.Energy_SB_Off2_SEC</t>
  </si>
  <si>
    <t>BillDeter_SBDT.Energy_SB_Off2_PRI</t>
  </si>
  <si>
    <t>BillDeter_SBDT.Energy_SB_Off2_SUB</t>
  </si>
  <si>
    <t>BillDeter_GSLDT_PR.Energy_OffPk2</t>
  </si>
  <si>
    <t>BillDeter_GSLDT_SU.Energy_OffPk2</t>
  </si>
  <si>
    <t>BillDeter_SBLDT_PR.Energy_SB_OffPk2</t>
  </si>
  <si>
    <t>BillDeter_SBLDT_PR.Energy_SUPP_OffPk2</t>
  </si>
  <si>
    <t>BillDeter_SBLDT_SU.Energy_SUPP_OffPk2</t>
  </si>
  <si>
    <t>BillDeter_SBLDT_SU.Energy_SB_OffPk2</t>
  </si>
  <si>
    <t>Rounded Proposed Rates</t>
  </si>
  <si>
    <t>By rate schedule, calculate revenues under present and proposed rates for the test year.  If any customers are to be</t>
  </si>
  <si>
    <t>transferred from one schedule to another, show revenues separately for the transfer group.  Correction factors are</t>
  </si>
  <si>
    <t>used for historic test years only.  The total base revenue by class must equal that shown in Schedule E-13a.  The billing</t>
  </si>
  <si>
    <t>units must equal those shown in Schedule E-15.</t>
  </si>
  <si>
    <t xml:space="preserve">PROVIDE TOTAL NUMBER OF BILLS, MWH's, AND BILLING kW FOR EACH RATE SCHEDULE (INCLUDING STANDARD </t>
  </si>
  <si>
    <t>AND TIME OF USE CUSTOMERS) AND TRANSFER GROUP.</t>
  </si>
  <si>
    <t>XX</t>
  </si>
  <si>
    <t>SBLDTPR Power Factor Credit</t>
  </si>
  <si>
    <t>SBLDTPR Power Factor Charge</t>
  </si>
  <si>
    <t>GSDT</t>
  </si>
  <si>
    <t>Compare jurisdictional revenue excluding service charges by rate schedule under present and proposed rates</t>
  </si>
  <si>
    <t xml:space="preserve">for the test year. If any customers are to be transferred from one schedule to another, the revenue and billing </t>
  </si>
  <si>
    <t>determinant information shall be shown separately for the transfer group and not be included under either the</t>
  </si>
  <si>
    <t xml:space="preserve">new or old classification. </t>
  </si>
  <si>
    <t>Continued on Page 5</t>
  </si>
  <si>
    <t>Continued from Page 4</t>
  </si>
  <si>
    <t>Continued on Page 7</t>
  </si>
  <si>
    <t>Continued from Page 6</t>
  </si>
  <si>
    <t xml:space="preserve">    T-O-D - Subtransmission</t>
  </si>
  <si>
    <t xml:space="preserve">   T-O-D On-Peak - Subtransmission</t>
  </si>
  <si>
    <t xml:space="preserve">   T-O-D Off-Peak - Subtransmission</t>
  </si>
  <si>
    <t xml:space="preserve">   T-O-D Billing - Subtransmission</t>
  </si>
  <si>
    <t xml:space="preserve">   T-O-D Peak - Subtransmission</t>
  </si>
  <si>
    <t xml:space="preserve">   Standard Subtransmission</t>
  </si>
  <si>
    <t xml:space="preserve">   T-O-D Subtransmission</t>
  </si>
  <si>
    <t xml:space="preserve">    T-O-D Subtransmission </t>
  </si>
  <si>
    <t xml:space="preserve">    T-O-D On-Peak - Subtransmission</t>
  </si>
  <si>
    <t xml:space="preserve">    T-O-D Off-Peak - Subtransmission</t>
  </si>
  <si>
    <t xml:space="preserve">    T-O-D Billing - Subtransmission </t>
  </si>
  <si>
    <t xml:space="preserve">   Std. Facilities Reservation - Sub. </t>
  </si>
  <si>
    <t xml:space="preserve">   Std. Power Supply Res. - Sub.</t>
  </si>
  <si>
    <t xml:space="preserve">   Std. Power Supply Dmd. - Sub.</t>
  </si>
  <si>
    <t>SCHEDULE E-13d</t>
  </si>
  <si>
    <t>REVENUE BY RATE SCHEDULE - LIGHTING SCHEDULE CALCULATION</t>
  </si>
  <si>
    <t>Page 1 of 7</t>
  </si>
  <si>
    <t>EXPLANATION:</t>
  </si>
  <si>
    <t>LIGHTING SCHEDULE LS-1</t>
  </si>
  <si>
    <t>Present Rates</t>
  </si>
  <si>
    <t>Annual</t>
  </si>
  <si>
    <t>Est.</t>
  </si>
  <si>
    <t>Monthly</t>
  </si>
  <si>
    <t>Combined</t>
  </si>
  <si>
    <t>Billing</t>
  </si>
  <si>
    <t>Facility</t>
  </si>
  <si>
    <t>Maintenance</t>
  </si>
  <si>
    <t>Items</t>
  </si>
  <si>
    <t>Charge</t>
  </si>
  <si>
    <t>Rate Code</t>
  </si>
  <si>
    <t>High Pressure Sodium  - Dusk-to-Dawn Service</t>
  </si>
  <si>
    <t xml:space="preserve">   Cobra (closed) 800</t>
  </si>
  <si>
    <t>50 W</t>
  </si>
  <si>
    <t xml:space="preserve">   Cobra/Nema (closed) 802</t>
  </si>
  <si>
    <t>70 W</t>
  </si>
  <si>
    <t xml:space="preserve">   Cobra/Nema (closed) 803</t>
  </si>
  <si>
    <t>100 W</t>
  </si>
  <si>
    <t xml:space="preserve">   Cobra (closed) 804</t>
  </si>
  <si>
    <t>150 W</t>
  </si>
  <si>
    <t xml:space="preserve">   Cobra (closed) 805</t>
  </si>
  <si>
    <t>250 W</t>
  </si>
  <si>
    <t xml:space="preserve">   Cobra (closed) 806</t>
  </si>
  <si>
    <t>400 W</t>
  </si>
  <si>
    <t xml:space="preserve">   Flood (closed) 468</t>
  </si>
  <si>
    <t xml:space="preserve">   Flood (closed) 478</t>
  </si>
  <si>
    <t xml:space="preserve">   Mongoose (closed) 809</t>
  </si>
  <si>
    <t xml:space="preserve">   Post Top (PT) (closed) 509</t>
  </si>
  <si>
    <t xml:space="preserve">   Classic (PT) (closed) 570</t>
  </si>
  <si>
    <t xml:space="preserve">   Coach (PT) (closed) 810</t>
  </si>
  <si>
    <t xml:space="preserve">   Colonial (PT) (closed) 572</t>
  </si>
  <si>
    <t xml:space="preserve">   Salem (PT) (closed) 573</t>
  </si>
  <si>
    <t xml:space="preserve">   Shoebox (closed) 550</t>
  </si>
  <si>
    <t xml:space="preserve">   Shoebox (closed) 566</t>
  </si>
  <si>
    <t xml:space="preserve">   Shoebox (closed) 552</t>
  </si>
  <si>
    <t xml:space="preserve">   Subtotal this section</t>
  </si>
  <si>
    <t>Metal Halide - Dusk-to-Dawn Service</t>
  </si>
  <si>
    <t xml:space="preserve">    Cobra (closed) 704</t>
  </si>
  <si>
    <t>350 W</t>
  </si>
  <si>
    <t xml:space="preserve">    Cobra (closed) 520</t>
  </si>
  <si>
    <t xml:space="preserve">    Flood (closed) 705</t>
  </si>
  <si>
    <t xml:space="preserve">    Flood (closed) 556</t>
  </si>
  <si>
    <t xml:space="preserve">    Flood (closed) 558</t>
  </si>
  <si>
    <t>1000 W</t>
  </si>
  <si>
    <t xml:space="preserve">    General (PT) (closed) 701</t>
  </si>
  <si>
    <t xml:space="preserve">    General (PT) (closed) 574</t>
  </si>
  <si>
    <t>175 W</t>
  </si>
  <si>
    <t xml:space="preserve">    Salem (PT) (closed) 700</t>
  </si>
  <si>
    <t xml:space="preserve">    Salem (PT) (closed) 575</t>
  </si>
  <si>
    <t xml:space="preserve">    Shoebox (closed) 702</t>
  </si>
  <si>
    <t xml:space="preserve">    Shoebox (closed) 564</t>
  </si>
  <si>
    <t xml:space="preserve">    Shoebox (closed) 703</t>
  </si>
  <si>
    <t xml:space="preserve">    Shoebox (closed) 554</t>
  </si>
  <si>
    <t xml:space="preserve">    Shoebox (closed) 576</t>
  </si>
  <si>
    <t>Continued on Page 2</t>
  </si>
  <si>
    <t>Supporting Schedules:</t>
  </si>
  <si>
    <t>Recap Schedules: E-13a</t>
  </si>
  <si>
    <t>Page 2 of 7</t>
  </si>
  <si>
    <t xml:space="preserve">                  EXPLANATION:</t>
  </si>
  <si>
    <t>Continued from Page 1</t>
  </si>
  <si>
    <t>High Pressure Sodium - Timed Service</t>
  </si>
  <si>
    <t xml:space="preserve">   Cobra (closed) 860</t>
  </si>
  <si>
    <t xml:space="preserve">   Cobra/Nema (closed) 862</t>
  </si>
  <si>
    <t xml:space="preserve">   Cobra/Nema (closed) 863</t>
  </si>
  <si>
    <t xml:space="preserve">   Cobra (closed) 864</t>
  </si>
  <si>
    <t xml:space="preserve">   Cobra (closed) 865</t>
  </si>
  <si>
    <t xml:space="preserve">   Cobra (closed) 866</t>
  </si>
  <si>
    <t xml:space="preserve">   Flood (closed) 454</t>
  </si>
  <si>
    <t xml:space="preserve">   Flood (closed) 484</t>
  </si>
  <si>
    <t xml:space="preserve">   Mongoose (closed) 869</t>
  </si>
  <si>
    <t xml:space="preserve">   Post Top (PT) (closed) 508</t>
  </si>
  <si>
    <t xml:space="preserve">   Classic (PT) (closed) 530</t>
  </si>
  <si>
    <t xml:space="preserve">   Coach (PT) (closed) 870</t>
  </si>
  <si>
    <t xml:space="preserve">   Colonial (PT) (closed) 532</t>
  </si>
  <si>
    <t xml:space="preserve">   Salem (PT) (closed) 533</t>
  </si>
  <si>
    <t xml:space="preserve">   Shoebox (closed) 534</t>
  </si>
  <si>
    <t xml:space="preserve">   Shoebox (closed) 536</t>
  </si>
  <si>
    <t xml:space="preserve">   Shoebox (closed) 538</t>
  </si>
  <si>
    <t>Metal Halide - Timed Service</t>
  </si>
  <si>
    <t xml:space="preserve">    Cobra (closed) 724</t>
  </si>
  <si>
    <t xml:space="preserve">    Cobra (closed) 522</t>
  </si>
  <si>
    <t xml:space="preserve">    Flood (closed) 725</t>
  </si>
  <si>
    <t xml:space="preserve">    Flood (closed) 541</t>
  </si>
  <si>
    <t xml:space="preserve">    Flood (closed) 578</t>
  </si>
  <si>
    <t xml:space="preserve">    General (PT) (closed) 721</t>
  </si>
  <si>
    <t xml:space="preserve">    General (PT) (closed) 548</t>
  </si>
  <si>
    <t xml:space="preserve">    Salem (PT) (closed) 720</t>
  </si>
  <si>
    <t xml:space="preserve">    Salem (PT) (closed) 568</t>
  </si>
  <si>
    <t>Shoebox (closed) 722</t>
  </si>
  <si>
    <t xml:space="preserve">    Shoebox (closed) 549</t>
  </si>
  <si>
    <t xml:space="preserve">    Shoebox (closed) 723</t>
  </si>
  <si>
    <t xml:space="preserve">    Shoebox (closed) 540</t>
  </si>
  <si>
    <t xml:space="preserve">    Shoebox (closed) 577</t>
  </si>
  <si>
    <t>Continued on Page 3</t>
  </si>
  <si>
    <t>Page 3 of 7</t>
  </si>
  <si>
    <t>Continued from Page 2</t>
  </si>
  <si>
    <t>Closed LED - Dusk-to-Dawn Service</t>
  </si>
  <si>
    <t xml:space="preserve">   Roadway (closed) 828</t>
  </si>
  <si>
    <t>56 W</t>
  </si>
  <si>
    <t xml:space="preserve">   Roadway (closed) 820</t>
  </si>
  <si>
    <t>103 W</t>
  </si>
  <si>
    <t xml:space="preserve">   Roadway (closed) 821</t>
  </si>
  <si>
    <t>106 W</t>
  </si>
  <si>
    <t xml:space="preserve">   Roadway (closed) 829</t>
  </si>
  <si>
    <t>157 W</t>
  </si>
  <si>
    <t xml:space="preserve">   Roadway (closed) 822</t>
  </si>
  <si>
    <t>196 W</t>
  </si>
  <si>
    <t xml:space="preserve">   Roadway (closed) 823</t>
  </si>
  <si>
    <t>206 W</t>
  </si>
  <si>
    <t xml:space="preserve">   Post Top (PT) (closed) 835</t>
  </si>
  <si>
    <t>60 W</t>
  </si>
  <si>
    <t xml:space="preserve">   Post Top (PT) (closed) 824</t>
  </si>
  <si>
    <t>67 W</t>
  </si>
  <si>
    <t xml:space="preserve">   Post Top (PT) (closed) 825</t>
  </si>
  <si>
    <t>99 W</t>
  </si>
  <si>
    <t xml:space="preserve">   Post Top (PT) (closed) 836</t>
  </si>
  <si>
    <t xml:space="preserve">   Area-Lighter (closed) 830</t>
  </si>
  <si>
    <t>152 W</t>
  </si>
  <si>
    <t xml:space="preserve">   Area-Lighter (closed) 826</t>
  </si>
  <si>
    <t>202 W</t>
  </si>
  <si>
    <t xml:space="preserve">   Area-Lighter (closed) 827</t>
  </si>
  <si>
    <t>309 W</t>
  </si>
  <si>
    <t xml:space="preserve">   Flood (closed) 831</t>
  </si>
  <si>
    <t>238 W</t>
  </si>
  <si>
    <t xml:space="preserve">   Flood (closed) 832</t>
  </si>
  <si>
    <t>359 W</t>
  </si>
  <si>
    <t xml:space="preserve">   Mongoose (closed) 833</t>
  </si>
  <si>
    <t>245 W</t>
  </si>
  <si>
    <t xml:space="preserve">   Mongoose (closed) 834</t>
  </si>
  <si>
    <t>328 W</t>
  </si>
  <si>
    <t>Closed LED - Timed Service</t>
  </si>
  <si>
    <t xml:space="preserve">   Roadway (closed) 848</t>
  </si>
  <si>
    <t xml:space="preserve">   Roadway (closed) 840</t>
  </si>
  <si>
    <t xml:space="preserve">   Roadway (closed) 841</t>
  </si>
  <si>
    <t xml:space="preserve">   Roadway (closed) 849</t>
  </si>
  <si>
    <t xml:space="preserve">   Roadway (closed) 842</t>
  </si>
  <si>
    <t xml:space="preserve">   Roadway (closed) 843</t>
  </si>
  <si>
    <t xml:space="preserve">   Post Top (PT) (closed) 855</t>
  </si>
  <si>
    <t xml:space="preserve">   Post Top (PT) (closed) 844</t>
  </si>
  <si>
    <t xml:space="preserve">   Post Top (PT) (closed) 845</t>
  </si>
  <si>
    <t xml:space="preserve">   Post Top (PT) (closed) 856</t>
  </si>
  <si>
    <t xml:space="preserve">   Area-Lighter (closed) 850</t>
  </si>
  <si>
    <t xml:space="preserve">   Area-Lighter (closed) 846</t>
  </si>
  <si>
    <t xml:space="preserve">   Area-Lighter (closed) 847</t>
  </si>
  <si>
    <t xml:space="preserve">   Flood (closed) 851</t>
  </si>
  <si>
    <t xml:space="preserve">   Flood (closed) 852</t>
  </si>
  <si>
    <t xml:space="preserve">   Mongoose (closed) 853</t>
  </si>
  <si>
    <t xml:space="preserve">   Mongoose (closed) 854</t>
  </si>
  <si>
    <t>Continued on Page 4</t>
  </si>
  <si>
    <t>Page 4 of 7</t>
  </si>
  <si>
    <t/>
  </si>
  <si>
    <t>Continued from Page 3</t>
  </si>
  <si>
    <t>Open LED - Dusk-to-Dawn Service</t>
  </si>
  <si>
    <t>Roadway 912</t>
  </si>
  <si>
    <t>27 W</t>
  </si>
  <si>
    <t>Roadway 914</t>
  </si>
  <si>
    <t>47 W</t>
  </si>
  <si>
    <t>Roadway/Area 921</t>
  </si>
  <si>
    <t>88 W</t>
  </si>
  <si>
    <t>Roadway 926</t>
  </si>
  <si>
    <t>105 W</t>
  </si>
  <si>
    <t>Roadway/Area 932</t>
  </si>
  <si>
    <t>133 W</t>
  </si>
  <si>
    <t>Area-Lighter 935</t>
  </si>
  <si>
    <t>143 W</t>
  </si>
  <si>
    <t>Roadway 937</t>
  </si>
  <si>
    <t>145 W</t>
  </si>
  <si>
    <t>Roadway 941</t>
  </si>
  <si>
    <t>182 W</t>
  </si>
  <si>
    <t>Area-Lighter 945</t>
  </si>
  <si>
    <t>247 W</t>
  </si>
  <si>
    <t>Area-Lighter 947</t>
  </si>
  <si>
    <t>330 W</t>
  </si>
  <si>
    <t>Flood 951</t>
  </si>
  <si>
    <t>199 W</t>
  </si>
  <si>
    <t>Flood 953</t>
  </si>
  <si>
    <t>255 W</t>
  </si>
  <si>
    <t>Mongoose 956</t>
  </si>
  <si>
    <t>225 W</t>
  </si>
  <si>
    <t>Mongoose 958</t>
  </si>
  <si>
    <t>333 W</t>
  </si>
  <si>
    <t>Granville (PT) 965</t>
  </si>
  <si>
    <t>26 W</t>
  </si>
  <si>
    <t>Granville (PT) 967</t>
  </si>
  <si>
    <t>39 W</t>
  </si>
  <si>
    <t>Granville (PT) Enh 967 ENH aka 968</t>
  </si>
  <si>
    <t>Salem (PT) 971</t>
  </si>
  <si>
    <t>55 W</t>
  </si>
  <si>
    <t>Granville (PT) 972</t>
  </si>
  <si>
    <t>Granville (PT) Enh 972 ENH aka 973</t>
  </si>
  <si>
    <t>Salem (PT) 975</t>
  </si>
  <si>
    <t>76 W</t>
  </si>
  <si>
    <t>Page 5 of 7</t>
  </si>
  <si>
    <t>Open LED - Timed Service</t>
  </si>
  <si>
    <t>Roadway 901</t>
  </si>
  <si>
    <t>Roadway/Area 902</t>
  </si>
  <si>
    <t>Roadway/Area 903</t>
  </si>
  <si>
    <t>Area-Lighter 904</t>
  </si>
  <si>
    <t>Roadway 905</t>
  </si>
  <si>
    <t>Area-Lighter 906</t>
  </si>
  <si>
    <t>Mongoose 907</t>
  </si>
  <si>
    <t>Roadway 981</t>
  </si>
  <si>
    <t>Roadway 982</t>
  </si>
  <si>
    <t>Roadway 983</t>
  </si>
  <si>
    <t>Area-Lighter 984</t>
  </si>
  <si>
    <t>Flood 985</t>
  </si>
  <si>
    <t>Flood 986</t>
  </si>
  <si>
    <t>Mongoose 987</t>
  </si>
  <si>
    <t>Granville (PT) 988</t>
  </si>
  <si>
    <t>Granville (PT) Enh 988 ENH aka 989</t>
  </si>
  <si>
    <t>Salem (PT) 990</t>
  </si>
  <si>
    <t>Granville Post Top PT 991</t>
  </si>
  <si>
    <t>Salem PT 992</t>
  </si>
  <si>
    <t>Granville PT 993</t>
  </si>
  <si>
    <t>Granville PT Enh 994</t>
  </si>
  <si>
    <t>Total Fixtures and kWh</t>
  </si>
  <si>
    <t>Continued on Page 6</t>
  </si>
  <si>
    <t>Page 6 of 7</t>
  </si>
  <si>
    <t>Pole/Wire</t>
  </si>
  <si>
    <t xml:space="preserve">  Wood - 30 ft. (inaccessible) (closed) 425</t>
  </si>
  <si>
    <t>OH wire</t>
  </si>
  <si>
    <t xml:space="preserve">  Wood - 30 ft. 626</t>
  </si>
  <si>
    <t xml:space="preserve">  Wood - 35 ft. 627</t>
  </si>
  <si>
    <t xml:space="preserve">  Wood -  up to 45 ft. 597</t>
  </si>
  <si>
    <t xml:space="preserve">  Std. Concrete - 35 ft. 637</t>
  </si>
  <si>
    <t xml:space="preserve">  Std. Concrete -  up to 45 ft. 594</t>
  </si>
  <si>
    <t xml:space="preserve">  Std. Concrete -  16ft. 599</t>
  </si>
  <si>
    <t>UG wire</t>
  </si>
  <si>
    <t xml:space="preserve">  Std. Concrete -  25 or 30 ft. 595</t>
  </si>
  <si>
    <t xml:space="preserve">  Std. Concrete -  35 ft. 588</t>
  </si>
  <si>
    <t xml:space="preserve">  Std. Concrete -  35 ft. (70-100 W or up to 100 ft span) (closed) 607</t>
  </si>
  <si>
    <t xml:space="preserve">  Std. Concrete -  35 ft. (150 W or 100-150 ft span) (closed) 612</t>
  </si>
  <si>
    <t xml:space="preserve">  Std. Concrete -  35 ft. (250 W - 400 W or above 150 ft span) (closed) 614</t>
  </si>
  <si>
    <t xml:space="preserve">  Std. Concrete -  up to 45 ft. 596</t>
  </si>
  <si>
    <t xml:space="preserve">  Round Concrete -  23 ft.  523</t>
  </si>
  <si>
    <t xml:space="preserve">  Tall Waterford -  35 ft. (Concrete) 591</t>
  </si>
  <si>
    <t xml:space="preserve">  Victorian (PT) (Concrete) 592</t>
  </si>
  <si>
    <t xml:space="preserve">  Winston (PT) (Concrete) 593</t>
  </si>
  <si>
    <t xml:space="preserve">  Waterford (PT) (Concrete) 583</t>
  </si>
  <si>
    <t xml:space="preserve">  Aluminum - 10 ft. (closed) 422</t>
  </si>
  <si>
    <t xml:space="preserve">  Aluminum - 27 ft.  616</t>
  </si>
  <si>
    <t xml:space="preserve">  Aluminum - 28 ft.  615</t>
  </si>
  <si>
    <t xml:space="preserve">  Aluminum - 37 ft.  622</t>
  </si>
  <si>
    <t xml:space="preserve">  Waterside (Aluminum) 623</t>
  </si>
  <si>
    <t xml:space="preserve">  Aluminum - (PT) (closed) 584</t>
  </si>
  <si>
    <t xml:space="preserve">  Capitol (PT)  (Aluminum) (closed) 581</t>
  </si>
  <si>
    <t xml:space="preserve">  Charleston (PT)  (Aluminum) 586</t>
  </si>
  <si>
    <t xml:space="preserve">  Charleston Banner (PT) (Aluminum) 585</t>
  </si>
  <si>
    <t xml:space="preserve">  Charleston HD (PT) (Aluminum) 590</t>
  </si>
  <si>
    <t xml:space="preserve">  Heritage (PT)(Aluminum) (closed) 580</t>
  </si>
  <si>
    <t xml:space="preserve">  Riviera (PT)  (Aluminum) (closed)</t>
  </si>
  <si>
    <t xml:space="preserve">  Steel - 30 ft. (closed) 589</t>
  </si>
  <si>
    <t xml:space="preserve">  Fiberglass (PT) - 16 ft. (closed) 624</t>
  </si>
  <si>
    <t>Winston (closed)</t>
  </si>
  <si>
    <t>Page 7 of 7</t>
  </si>
  <si>
    <t xml:space="preserve">  Franklin Composite 525</t>
  </si>
  <si>
    <t xml:space="preserve">  Existing Pole 641</t>
  </si>
  <si>
    <t>Total Pole/Wire</t>
  </si>
  <si>
    <t>Miscellaneous Lighting Facilities</t>
  </si>
  <si>
    <t xml:space="preserve">Timer </t>
  </si>
  <si>
    <t>Post Top Bracket (for additional post top fixtures)</t>
  </si>
  <si>
    <t xml:space="preserve"> Total Miscellaneous Lighting Facilities</t>
  </si>
  <si>
    <t>Total Base Revenue</t>
  </si>
  <si>
    <t>Rate Design Adjustments</t>
  </si>
  <si>
    <t>12-Month Sum</t>
  </si>
  <si>
    <t>High Pressure Sodium - Dusk-to-Dawn</t>
  </si>
  <si>
    <t>Metal Halide - Dusk-to-Dawn</t>
  </si>
  <si>
    <t>Pole / Wire</t>
  </si>
  <si>
    <t>Timer</t>
  </si>
  <si>
    <t>PT Bracket</t>
  </si>
  <si>
    <t>Metered</t>
  </si>
  <si>
    <t>LED Dusk-to-Dawn</t>
  </si>
  <si>
    <t>LED - Timed Service</t>
  </si>
  <si>
    <t>YBOR</t>
  </si>
  <si>
    <t>New LED - Dusk-to-Dawn</t>
  </si>
  <si>
    <t>new LowWattSalem</t>
  </si>
  <si>
    <t>New LED - Timed Service</t>
  </si>
  <si>
    <t>989
(988 ENH)</t>
  </si>
  <si>
    <t>Total Units</t>
  </si>
  <si>
    <t>Facility Charge</t>
  </si>
  <si>
    <t>Maintenance Charge</t>
  </si>
  <si>
    <t>Calculate revenues under present and proposed rates for the test year for each lighting schedule.  Show revenues</t>
  </si>
  <si>
    <t xml:space="preserve">from charges for all types of lighting fixtures, poles and conductors.  Poles should be listed separately from fixtures.  </t>
  </si>
  <si>
    <t xml:space="preserve">Show separately revenues from customers who own facilities and those who do not.  Annual KWH's must agree </t>
  </si>
  <si>
    <t>with the data provided in Schedule E-15.</t>
  </si>
  <si>
    <t xml:space="preserve">   Time-of-Day Super Off-Peak</t>
  </si>
  <si>
    <t>GST Super Off-Peak Energy Charge</t>
  </si>
  <si>
    <t>GSDT Super Off-Peak Energy Charge Secondary</t>
  </si>
  <si>
    <t>GSDT Super Off-Peak Energy Charge Primary</t>
  </si>
  <si>
    <t>GSDT Super Off-Peak Energy Charge Subtransmission</t>
  </si>
  <si>
    <t>SBDT Supplemental Super Off-Peak Energy Charge Secondary</t>
  </si>
  <si>
    <t>SBDT Supplemental Super Off-Peak Energy Charge Primary</t>
  </si>
  <si>
    <t>SBDT Supplemental Super Off-Peak Energy Charge Subtransmission</t>
  </si>
  <si>
    <t>SBDT Standby Super Off-Peak Energy Charge Secondary</t>
  </si>
  <si>
    <t>SBDT Standby Super Off-Peak Energy Charge Primary</t>
  </si>
  <si>
    <t>SBDT Standby Super Off-Peak Energy Charge Subtransmission</t>
  </si>
  <si>
    <t>GSLDTPR Super Off-Peak Energy Charge</t>
  </si>
  <si>
    <t>SBLDTPR Supplemental Super Off-Peak Energy Charge</t>
  </si>
  <si>
    <t>SBLDTPR Standby Super Off-Peak Energy Charge</t>
  </si>
  <si>
    <t>GSLDTSU Super Off-Peak Energy Charge</t>
  </si>
  <si>
    <t>SBLDTSU Supplemental Super Off-Peak Energy Charge</t>
  </si>
  <si>
    <t>SBLDTSU Standby Super Off-Peak Energy Charge</t>
  </si>
  <si>
    <t xml:space="preserve">    Time-of-Day Secondary - Super Off-Peak</t>
  </si>
  <si>
    <t xml:space="preserve">    Time-of-Day Primary  - Super Off-Peak</t>
  </si>
  <si>
    <t xml:space="preserve">    Time-of-Day Subtrans - Super Off Peak</t>
  </si>
  <si>
    <t xml:space="preserve">   TOD Secondary - Super Off-Peak</t>
  </si>
  <si>
    <t xml:space="preserve">   TOD Primary - Super Off-peak</t>
  </si>
  <si>
    <t xml:space="preserve">   TOD Subtransmission - Super Off-peak</t>
  </si>
  <si>
    <t xml:space="preserve">    Time-of-Day Subtrans. - Super Off-Peak</t>
  </si>
  <si>
    <t>LS-2 Lighting Facilities</t>
  </si>
  <si>
    <t>LS-2</t>
  </si>
  <si>
    <t xml:space="preserve"> Total LS-2 Facilities</t>
  </si>
  <si>
    <t>Sun Select Energy Charge</t>
  </si>
  <si>
    <t>SSR-1 (Sun Select)**</t>
  </si>
  <si>
    <t>GS Sun Select Energy Charge</t>
  </si>
  <si>
    <t>**Sun Select kWh are excluded from total kWh</t>
  </si>
  <si>
    <t>GSD Sun Select Energy Charge</t>
  </si>
  <si>
    <t xml:space="preserve">LS-1, LS-2 (Facilities) </t>
  </si>
  <si>
    <t>T-O-D Super Off-Peak</t>
  </si>
  <si>
    <t xml:space="preserve">   T-O-D Super Off-Peak - Secondary</t>
  </si>
  <si>
    <t xml:space="preserve">   T-O-D Super Off-Peak - Primary</t>
  </si>
  <si>
    <t xml:space="preserve">   T-O-D Super Off-Peak - Subtrans.</t>
  </si>
  <si>
    <t xml:space="preserve">    T-O-D Super Off-Peak - Secondary</t>
  </si>
  <si>
    <t xml:space="preserve">    T-O-D Super Off-Peak - Primary</t>
  </si>
  <si>
    <t xml:space="preserve">    T-O-D Super Off-Peak - Subtrans.</t>
  </si>
  <si>
    <t xml:space="preserve">    T-O-D Super Off-Peak -Secondary</t>
  </si>
  <si>
    <t xml:space="preserve">   T-O-D Super Off-Peak - Subtransmission</t>
  </si>
  <si>
    <t xml:space="preserve">    T-O-D Super Off-Peak - Subtransmission</t>
  </si>
  <si>
    <t>AMI Opt-Out</t>
  </si>
  <si>
    <t>Year</t>
  </si>
  <si>
    <t>Month</t>
  </si>
  <si>
    <t>RS_AMIOptOut_BaseRev</t>
  </si>
  <si>
    <t>GS_AMIOptOut_BaseRev</t>
  </si>
  <si>
    <t>GSD_AMIOptOut_BaseRev</t>
  </si>
  <si>
    <t>AMIOptOut_TotBaseRev</t>
  </si>
  <si>
    <t>Residential</t>
  </si>
  <si>
    <t>Commercial</t>
  </si>
  <si>
    <t>RS_AMIOptOut_Cust</t>
  </si>
  <si>
    <t>GS_AMIOptOut_Cust</t>
  </si>
  <si>
    <t>GSD_AMIOptOut_Cust</t>
  </si>
  <si>
    <t>AMI_OptOut_TotalCustomers</t>
  </si>
  <si>
    <t>AMI_OptOut_DailyFeeRecurring</t>
  </si>
  <si>
    <t>Check</t>
  </si>
  <si>
    <t>GSD_Secondary</t>
  </si>
  <si>
    <t>EDR/CISR Credit</t>
  </si>
  <si>
    <t>DOCKET No. 20240026-EI</t>
  </si>
  <si>
    <t>Senior Care program</t>
  </si>
  <si>
    <t>Bills</t>
  </si>
  <si>
    <t>SCHEDULE A-2</t>
  </si>
  <si>
    <t>FULL REVENUE REQUIREMENTS BILL COMPARISON - TYPICAL MONTHLY BILLS</t>
  </si>
  <si>
    <t>Page 1 of 5</t>
  </si>
  <si>
    <t xml:space="preserve">            EXPLANATION:</t>
  </si>
  <si>
    <t>For each rate, calculate typical monthly bills for present rates and proposed rates.</t>
  </si>
  <si>
    <t>RS - RESIDENTIAL SERVICE</t>
  </si>
  <si>
    <t>RATE SCHEDULE</t>
  </si>
  <si>
    <t xml:space="preserve"> BILL UNDER PRESENT RATES</t>
  </si>
  <si>
    <t>BILL UNDER PROPOSED RATES</t>
  </si>
  <si>
    <t xml:space="preserve">INCREASE </t>
  </si>
  <si>
    <t>COSTS IN CENTS/KWH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</si>
  <si>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</si>
  <si>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</si>
  <si>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</si>
  <si>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</si>
  <si>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</si>
  <si>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</si>
  <si>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</si>
  <si>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</si>
  <si>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</si>
  <si>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</si>
  <si>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</si>
  <si>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</si>
  <si>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</si>
  <si>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</si>
  <si>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</si>
  <si>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</si>
  <si>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</si>
  <si>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</si>
  <si>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</si>
  <si>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</si>
  <si>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</si>
  <si>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 xml:space="preserve">                    TYPICAL</t>
  </si>
  <si>
    <t>BASE</t>
  </si>
  <si>
    <t>FUEL</t>
  </si>
  <si>
    <t>ECCR</t>
  </si>
  <si>
    <t>CAPACITY</t>
  </si>
  <si>
    <t>ECRC</t>
  </si>
  <si>
    <t>CLEAN ENERGY</t>
  </si>
  <si>
    <t>SPPCRC</t>
  </si>
  <si>
    <t>STORM</t>
  </si>
  <si>
    <t>GRT</t>
  </si>
  <si>
    <t>DOLLARS</t>
  </si>
  <si>
    <t>PERCENT</t>
  </si>
  <si>
    <t>PRESENT</t>
  </si>
  <si>
    <t>PROPOSED</t>
  </si>
  <si>
    <t>KW</t>
  </si>
  <si>
    <t>KWH</t>
  </si>
  <si>
    <t>RATE</t>
  </si>
  <si>
    <t>CHARGE</t>
  </si>
  <si>
    <t>TRANS. MECH</t>
  </si>
  <si>
    <t>SURCHARGE</t>
  </si>
  <si>
    <t>(21)-(12)</t>
  </si>
  <si>
    <t>(22)/(12)</t>
  </si>
  <si>
    <t>(12)/(2)*100</t>
  </si>
  <si>
    <t>(21)/(2)*100</t>
  </si>
  <si>
    <t xml:space="preserve">PROPOSED </t>
  </si>
  <si>
    <t xml:space="preserve">BASIC SERVICE CHARGE </t>
  </si>
  <si>
    <t>$/Bill</t>
  </si>
  <si>
    <t>DEMAND CHARGE</t>
  </si>
  <si>
    <t>$/kW</t>
  </si>
  <si>
    <t>ENERGY CHARGE</t>
  </si>
  <si>
    <t>0 - 1,000 KWH</t>
  </si>
  <si>
    <t>¢/kWh</t>
  </si>
  <si>
    <t>Over 1,000 KWH</t>
  </si>
  <si>
    <t xml:space="preserve">FUEL CHARGE </t>
  </si>
  <si>
    <t>CONSERVATION CHARGE</t>
  </si>
  <si>
    <t>CAPACITY CHARGE</t>
  </si>
  <si>
    <t>CLEAN ENERGY TRANSITION MECHANISM</t>
  </si>
  <si>
    <t>ENVIRONMENTAL CHARGE</t>
  </si>
  <si>
    <t>STORM PROTECTION PLAN</t>
  </si>
  <si>
    <t>STORM SURCHARGE</t>
  </si>
  <si>
    <t xml:space="preserve"> Note: Present and proposed cost recovery clause factors are the approved January 2024 factors.  </t>
  </si>
  <si>
    <t>Supporting Schedules:  E-13c, E-14 Supplement</t>
  </si>
  <si>
    <t>Recap Schedules:</t>
  </si>
  <si>
    <t>Page 2 of 5</t>
  </si>
  <si>
    <t>GS - GENERAL SERVICE NON-DEMAND</t>
  </si>
  <si>
    <t>FUEL CHARGE</t>
  </si>
  <si>
    <t>Page 3 of 5</t>
  </si>
  <si>
    <t>GSD - GENERAL SERVICE DEMAND</t>
  </si>
  <si>
    <t>GSD OPT.</t>
  </si>
  <si>
    <t>BILLING</t>
  </si>
  <si>
    <t xml:space="preserve">PEAK </t>
  </si>
  <si>
    <t>ON-PEAK</t>
  </si>
  <si>
    <t>OFF-PEAK</t>
  </si>
  <si>
    <t>SUPER OFF-PEAK</t>
  </si>
  <si>
    <t xml:space="preserve">Notes: </t>
  </si>
  <si>
    <t>A.  The kWh for each kW group is based on 20, 35, 60, and 90% load factors (LF).</t>
  </si>
  <si>
    <t xml:space="preserve">B.  Charges at 20% LF are based on the GSD Option rate; 35% and 60% LF charges are based on the standard rate; and 90% LF charges are based on the TOD rate.  </t>
  </si>
  <si>
    <t xml:space="preserve">C.  All calculations assume meter and service at secondary voltage.   </t>
  </si>
  <si>
    <t xml:space="preserve">D.  Present TOD energy charges assume 25/75 on/off-peak % for 90% LF. Proposed TOD energy charges assume 25/40/35 on/off-peak/super off-peak % for 90% LF.  </t>
  </si>
  <si>
    <t>E.  Peak demand to billing demand ratios are assumed to be 99% at 90% LF.</t>
  </si>
  <si>
    <t xml:space="preserve">G.  Present and proposed cost recovery clause factors are the approved January 2024 factors.  </t>
  </si>
  <si>
    <t>Page 4 of 5</t>
  </si>
  <si>
    <t xml:space="preserve">                                EXPLANATION:</t>
  </si>
  <si>
    <t xml:space="preserve">GSLDPR/GSLDTPR- GENERAL SERVICE LARGE DEMAND/ TOU/ PRIMARY SERVED </t>
  </si>
  <si>
    <t>GSLDTPR</t>
  </si>
  <si>
    <t>BILLING DEMAND</t>
  </si>
  <si>
    <t>PEAK DEMAND CHARGE</t>
  </si>
  <si>
    <t>A.  The kWh for each kW group is based on 35, 60, and 90% load factors (LF).</t>
  </si>
  <si>
    <t>B.  Charges at 35% and 60% LF are based on standard rates and charges at  90% LF are based on TOD rates.  Peak demand to billing demand ratios are assumed to be 99% at 90% LF.</t>
  </si>
  <si>
    <t>C.  Calculations assume meter and service at primary voltage and a power factor of 85%.</t>
  </si>
  <si>
    <t xml:space="preserve">D.  Present TOD energy charges assume 25/75 on/off-peak % for 90% LF.  Proposed TOD energy charges assume 25/40/35 on/off-peak/super off-peak % for 90% LF.  </t>
  </si>
  <si>
    <t xml:space="preserve">E.  Present and proposed cost recovery clause factors are the approved January 2024 factors. </t>
  </si>
  <si>
    <t>Page 5 of 5</t>
  </si>
  <si>
    <t xml:space="preserve">GSLDSU/GSLDTSU- GENERAL SERVICE LARGE DEMAND/ TOU/ SUBTRANSMISSION SERVED </t>
  </si>
  <si>
    <t>GSLDTSU</t>
  </si>
  <si>
    <t>SCHEDULE A-3</t>
  </si>
  <si>
    <t>SUMMARY OF TARIFFS</t>
  </si>
  <si>
    <t>Page 1 of 13</t>
  </si>
  <si>
    <t xml:space="preserve">                  EXPLANATION:  </t>
  </si>
  <si>
    <t>Provide a summary of all proposed changes in rates and rate classes, detailing current and proposed classes of</t>
  </si>
  <si>
    <t>service, demand, energy, and other service charges.</t>
  </si>
  <si>
    <t xml:space="preserve">Current </t>
  </si>
  <si>
    <t>Current</t>
  </si>
  <si>
    <t>Schedule</t>
  </si>
  <si>
    <t>Type of Charge</t>
  </si>
  <si>
    <t>((5)-(3))/(3)</t>
  </si>
  <si>
    <t>RS/RSVP1</t>
  </si>
  <si>
    <t>$/Day</t>
  </si>
  <si>
    <t>RSVP-1</t>
  </si>
  <si>
    <t>Energy and Demand Charge:</t>
  </si>
  <si>
    <t xml:space="preserve">   First 1,000 kWh</t>
  </si>
  <si>
    <t>$/kWh</t>
  </si>
  <si>
    <t xml:space="preserve">   All additional kWh</t>
  </si>
  <si>
    <t>$/Eligible Bill</t>
  </si>
  <si>
    <t>Supporting Schedules:  E-7, E-14 Supplement</t>
  </si>
  <si>
    <t>Page 2 of 13</t>
  </si>
  <si>
    <t>Standard - Unmetered</t>
  </si>
  <si>
    <t>Time-of-Day</t>
  </si>
  <si>
    <t>Time-of-Day On-Peak</t>
  </si>
  <si>
    <t>Time-of-Day Off-Peak</t>
  </si>
  <si>
    <t>Time-of-Day Super Off-Peak</t>
  </si>
  <si>
    <t>Emergency Relay Charge</t>
  </si>
  <si>
    <t>Page 3 of 13</t>
  </si>
  <si>
    <t>Page 4 of 13</t>
  </si>
  <si>
    <t>GSD/GSD Opt./GSDT</t>
  </si>
  <si>
    <t xml:space="preserve"> Optional Secondary</t>
  </si>
  <si>
    <t xml:space="preserve"> Optional Primary</t>
  </si>
  <si>
    <t xml:space="preserve"> Optional Subtransmission</t>
  </si>
  <si>
    <t xml:space="preserve"> Time-of-Day Secondary</t>
  </si>
  <si>
    <t xml:space="preserve"> Time-of-Day Primary</t>
  </si>
  <si>
    <t xml:space="preserve"> Time-of-Day Subtransmission</t>
  </si>
  <si>
    <t xml:space="preserve"> Optional</t>
  </si>
  <si>
    <t xml:space="preserve"> Time-of-Day On-Peak</t>
  </si>
  <si>
    <t xml:space="preserve"> Time-of-Day Off-Peak</t>
  </si>
  <si>
    <t xml:space="preserve"> Time-of-Day Super Off-Peak</t>
  </si>
  <si>
    <t>Standard (all delivery voltages)</t>
  </si>
  <si>
    <t xml:space="preserve"> Optional (all delivery voltages)</t>
  </si>
  <si>
    <t xml:space="preserve"> Time-of-Day Billing (all delivery voltages)</t>
  </si>
  <si>
    <t xml:space="preserve"> Time-of-Day Peak (all delivery voltages)</t>
  </si>
  <si>
    <t>Optional Primary</t>
  </si>
  <si>
    <t>Optional Subtransmission</t>
  </si>
  <si>
    <t>Emergency Relay  Power Supply Charge:</t>
  </si>
  <si>
    <t>Page 5 of 13</t>
  </si>
  <si>
    <t>%</t>
  </si>
  <si>
    <t>Page 6 of 13</t>
  </si>
  <si>
    <t xml:space="preserve"> Supplemental  Demand Charge:</t>
  </si>
  <si>
    <t>Standard  (All delivery voltages)</t>
  </si>
  <si>
    <t xml:space="preserve"> Time-of-Day Billing  (All delivery voltages)</t>
  </si>
  <si>
    <t xml:space="preserve"> Time-of-Day Peak  (All delivery voltages)</t>
  </si>
  <si>
    <t xml:space="preserve"> Supplemental Energy Charge:</t>
  </si>
  <si>
    <t>Standard (All delivery voltages)</t>
  </si>
  <si>
    <t>Time-of-Day On-Peak (All delivery voltages)</t>
  </si>
  <si>
    <t>Time-of-Day Off-Peak (All delivery voltages)</t>
  </si>
  <si>
    <t>Time-of-Day Super Off-Peak (All delivery voltages)</t>
  </si>
  <si>
    <t xml:space="preserve">  Standby Demand Charge (All):</t>
  </si>
  <si>
    <t>Local Facilities Reservation</t>
  </si>
  <si>
    <t xml:space="preserve">     Plus the greater of</t>
  </si>
  <si>
    <t>Power Supply Reservation, or</t>
  </si>
  <si>
    <t>$/kW-Mo</t>
  </si>
  <si>
    <t>Power Supply Demand</t>
  </si>
  <si>
    <t>$/kW-Day</t>
  </si>
  <si>
    <t xml:space="preserve"> Standby Energy Charge:</t>
  </si>
  <si>
    <t>Time-of-Day (All delivery voltages)</t>
  </si>
  <si>
    <t>Page 7 of 13</t>
  </si>
  <si>
    <t>Supplemental</t>
  </si>
  <si>
    <t>Standby</t>
  </si>
  <si>
    <t>Time-of-Day Primary</t>
  </si>
  <si>
    <t>Time-of-Day Subtransmission</t>
  </si>
  <si>
    <t xml:space="preserve">Emergency Relay  Power Supply Charge (all): </t>
  </si>
  <si>
    <t>Supplemental and Standby</t>
  </si>
  <si>
    <t>Power Factor Charge (all):</t>
  </si>
  <si>
    <t>$/kVARh</t>
  </si>
  <si>
    <t>Power Factor Credit (all):</t>
  </si>
  <si>
    <t>Supplemental and Stanby</t>
  </si>
  <si>
    <t>Page 8 of 13</t>
  </si>
  <si>
    <t xml:space="preserve"> Time-of-Day On-Peak - Primary</t>
  </si>
  <si>
    <t xml:space="preserve"> Time-of-Day Off-Peak - Primary</t>
  </si>
  <si>
    <t xml:space="preserve"> Time-of-Day Super Off-Peak - Primary</t>
  </si>
  <si>
    <t xml:space="preserve"> Time-of-Day Billing - (All delivery voltages)</t>
  </si>
  <si>
    <t xml:space="preserve"> Time-of-Day Peak -  (All delivery voltages)</t>
  </si>
  <si>
    <t>Emergency Relay Power Supply Charge (all):</t>
  </si>
  <si>
    <t>Standard subtransmission</t>
  </si>
  <si>
    <t xml:space="preserve"> Time-of-Day subtransmission</t>
  </si>
  <si>
    <t>Page 9 of 13</t>
  </si>
  <si>
    <t xml:space="preserve"> Time-of-Day On-Peak  -Subtransmission</t>
  </si>
  <si>
    <t xml:space="preserve"> Time-of-Day Off-Peak  -Subtransmission</t>
  </si>
  <si>
    <t xml:space="preserve"> Time-of-Day Super Off-Peak  -Subtransmission</t>
  </si>
  <si>
    <t>Page 10 of 13</t>
  </si>
  <si>
    <t xml:space="preserve"> Time-of-Day</t>
  </si>
  <si>
    <t xml:space="preserve"> Time-of-Day Billing</t>
  </si>
  <si>
    <t xml:space="preserve"> Time-of-Day Peak</t>
  </si>
  <si>
    <t xml:space="preserve">  Standby Demand Charge:</t>
  </si>
  <si>
    <t xml:space="preserve"> Time-of-Day (all periods)</t>
  </si>
  <si>
    <t>Continued on Page 11</t>
  </si>
  <si>
    <t>Page 11 of 13</t>
  </si>
  <si>
    <t>Emergency Relay  Power Supply Charge (all):</t>
  </si>
  <si>
    <t xml:space="preserve">Standard </t>
  </si>
  <si>
    <t>Time of Day</t>
  </si>
  <si>
    <t>Page 12 of 13</t>
  </si>
  <si>
    <t>Time-of-Day (all periods)</t>
  </si>
  <si>
    <t>Page 13 of 13</t>
  </si>
  <si>
    <t>LS-1, LS-2</t>
  </si>
  <si>
    <t>LS-1 and LS 2</t>
  </si>
  <si>
    <t xml:space="preserve">Basic Service Charge: </t>
  </si>
  <si>
    <t>(for metered streetlighting accounts only)</t>
  </si>
  <si>
    <t>Projected Year Ended  12/31/2027</t>
  </si>
  <si>
    <t>2025 Billing Determinants</t>
  </si>
  <si>
    <t xml:space="preserve"> -   </t>
  </si>
  <si>
    <t>2027 Revenue Requirement Collection</t>
  </si>
  <si>
    <t>*Difference to 2026 due to rounding</t>
  </si>
  <si>
    <t>Total*</t>
  </si>
  <si>
    <t>2027 Operating Revenue</t>
  </si>
  <si>
    <t>Witness:  J. Williams</t>
  </si>
  <si>
    <t xml:space="preserve">DOCKET No. 20240026-EI  </t>
  </si>
  <si>
    <t xml:space="preserve">DOCKET No. 20240026-EI   </t>
  </si>
  <si>
    <t xml:space="preserve">DOCKET No. 20240026-EI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</si>
</sst>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2"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%"/>
    <numFmt numFmtId="168" formatCode="_(&quot;$&quot;* #,##0.00000_);_(&quot;$&quot;* \(#,##0.00000\);_(&quot;$&quot;* &quot;-&quot;??_);_(@_)"/>
    <numFmt numFmtId="169" formatCode="_(* #,##0.000_);_(* \(#,##0.000\);_(* &quot;-&quot;??_);_(@_)"/>
    <numFmt numFmtId="170" formatCode="&quot;$&quot;#,##0.00"/>
    <numFmt numFmtId="171" formatCode="&quot;$&quot;#,##0.00000"/>
    <numFmt numFmtId="172" formatCode="0.00000"/>
    <numFmt numFmtId="173" formatCode="&quot;$&quot;#,##0"/>
    <numFmt numFmtId="174" formatCode="_(* #,##0.0000_);_(* \(#,##0.0000\);_(* &quot;-&quot;??_);_(@_)"/>
    <numFmt numFmtId="175" formatCode="0.0"/>
    <numFmt numFmtId="176" formatCode="_(* #,##0.00000_);_(* \(#,##0.00000\);_(* &quot;-&quot;??_);_(@_)"/>
    <numFmt numFmtId="177" formatCode="0.000"/>
    <numFmt numFmtId="178" formatCode="0.000%"/>
    <numFmt numFmtId="179" formatCode="_(* #,##0.0_);_(* \(#,##0.0\);_(* &quot;-&quot;??_);_(@_)"/>
    <numFmt numFmtId="180" formatCode="#,##0.0_);\(#,##0.0\)"/>
    <numFmt numFmtId="181" formatCode="0.00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u/>
      <sz val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u val="singleAccounting"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sz val="8"/>
      <color indexed="12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  <font>
      <sz val="8"/>
      <color theme="1"/>
      <name val="Arial"/>
      <family val="2"/>
    </font>
    <font>
      <u/>
      <sz val="8"/>
      <color indexed="8"/>
      <name val="Arial"/>
      <family val="2"/>
    </font>
    <font>
      <sz val="8"/>
      <color rgb="FFFF0000"/>
      <name val="Calibri"/>
      <family val="2"/>
      <scheme val="minor"/>
    </font>
    <font>
      <sz val="10"/>
      <name val="Arial"/>
      <family val="2"/>
    </font>
    <font>
      <sz val="10"/>
      <color indexed="64"/>
      <name val="Arial"/>
      <family val="2"/>
    </font>
    <font>
      <sz val="7.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9" fillId="0" borderId="0"/>
    <xf numFmtId="0" fontId="20" fillId="0" borderId="0"/>
    <xf numFmtId="0" fontId="7" fillId="0" borderId="0"/>
    <xf numFmtId="0" fontId="7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44" fontId="1" fillId="0" borderId="0" applyFont="0" applyFill="0" applyBorder="0" applyAlignment="0" applyProtection="0"/>
  </cellStyleXfs>
  <cellXfs count="386">
    <xf numFmtId="0" fontId="0" fillId="0" borderId="0" xfId="0"/>
    <xf numFmtId="0" fontId="0" fillId="2" borderId="0" xfId="0" applyFill="1"/>
    <xf numFmtId="0" fontId="2" fillId="2" borderId="0" xfId="0" applyFont="1" applyFill="1"/>
    <xf numFmtId="164" fontId="0" fillId="0" borderId="0" xfId="1" applyNumberFormat="1" applyFont="1"/>
    <xf numFmtId="3" fontId="0" fillId="0" borderId="0" xfId="0" applyNumberFormat="1"/>
    <xf numFmtId="4" fontId="0" fillId="0" borderId="0" xfId="0" applyNumberFormat="1"/>
    <xf numFmtId="164" fontId="0" fillId="0" borderId="0" xfId="0" applyNumberFormat="1"/>
    <xf numFmtId="164" fontId="0" fillId="0" borderId="0" xfId="1" applyNumberFormat="1" applyFont="1" applyFill="1"/>
    <xf numFmtId="0" fontId="3" fillId="0" borderId="0" xfId="0" applyFont="1"/>
    <xf numFmtId="0" fontId="3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4" quotePrefix="1" applyFont="1" applyAlignment="1">
      <alignment horizontal="center" wrapText="1"/>
    </xf>
    <xf numFmtId="165" fontId="3" fillId="0" borderId="0" xfId="2" applyNumberFormat="1" applyFont="1" applyFill="1" applyAlignment="1"/>
    <xf numFmtId="165" fontId="3" fillId="0" borderId="0" xfId="2" applyNumberFormat="1" applyFont="1" applyFill="1" applyBorder="1" applyAlignment="1"/>
    <xf numFmtId="165" fontId="3" fillId="0" borderId="3" xfId="2" applyNumberFormat="1" applyFont="1" applyFill="1" applyBorder="1" applyAlignment="1"/>
    <xf numFmtId="165" fontId="3" fillId="0" borderId="3" xfId="2" applyNumberFormat="1" applyFont="1" applyFill="1" applyBorder="1" applyAlignment="1">
      <alignment horizontal="center"/>
    </xf>
    <xf numFmtId="165" fontId="3" fillId="0" borderId="0" xfId="2" applyNumberFormat="1" applyFont="1" applyFill="1" applyBorder="1" applyAlignment="1">
      <alignment horizontal="center"/>
    </xf>
    <xf numFmtId="165" fontId="3" fillId="0" borderId="0" xfId="2" applyNumberFormat="1" applyFont="1" applyFill="1" applyAlignment="1">
      <alignment horizontal="right"/>
    </xf>
    <xf numFmtId="0" fontId="6" fillId="0" borderId="1" xfId="4" applyFont="1" applyBorder="1" applyAlignment="1">
      <alignment wrapText="1"/>
    </xf>
    <xf numFmtId="165" fontId="3" fillId="0" borderId="1" xfId="2" applyNumberFormat="1" applyFont="1" applyFill="1" applyBorder="1" applyAlignment="1"/>
    <xf numFmtId="165" fontId="3" fillId="0" borderId="1" xfId="2" applyNumberFormat="1" applyFont="1" applyFill="1" applyBorder="1" applyAlignment="1">
      <alignment horizontal="center"/>
    </xf>
    <xf numFmtId="165" fontId="3" fillId="0" borderId="1" xfId="2" applyNumberFormat="1" applyFont="1" applyFill="1" applyBorder="1" applyAlignment="1">
      <alignment horizontal="right"/>
    </xf>
    <xf numFmtId="0" fontId="6" fillId="0" borderId="0" xfId="4" applyFont="1" applyAlignment="1">
      <alignment wrapText="1"/>
    </xf>
    <xf numFmtId="165" fontId="3" fillId="0" borderId="0" xfId="2" applyNumberFormat="1" applyFont="1" applyFill="1"/>
    <xf numFmtId="164" fontId="3" fillId="0" borderId="0" xfId="1" applyNumberFormat="1" applyFont="1" applyFill="1" applyBorder="1"/>
    <xf numFmtId="164" fontId="3" fillId="0" borderId="0" xfId="1" applyNumberFormat="1" applyFont="1" applyFill="1"/>
    <xf numFmtId="164" fontId="3" fillId="0" borderId="0" xfId="1" applyNumberFormat="1" applyFont="1" applyFill="1" applyAlignment="1">
      <alignment horizontal="center"/>
    </xf>
    <xf numFmtId="165" fontId="3" fillId="0" borderId="0" xfId="2" applyNumberFormat="1" applyFont="1" applyFill="1" applyBorder="1"/>
    <xf numFmtId="165" fontId="3" fillId="0" borderId="0" xfId="2" applyNumberFormat="1" applyFont="1" applyFill="1" applyAlignment="1">
      <alignment horizontal="center"/>
    </xf>
    <xf numFmtId="165" fontId="8" fillId="0" borderId="0" xfId="2" applyNumberFormat="1" applyFont="1" applyFill="1"/>
    <xf numFmtId="165" fontId="3" fillId="0" borderId="0" xfId="2" applyNumberFormat="1" applyFont="1" applyFill="1" applyAlignment="1">
      <alignment horizontal="left" indent="1"/>
    </xf>
    <xf numFmtId="44" fontId="3" fillId="0" borderId="0" xfId="2" applyFont="1" applyFill="1" applyBorder="1"/>
    <xf numFmtId="39" fontId="3" fillId="0" borderId="0" xfId="1" applyNumberFormat="1" applyFont="1" applyFill="1" applyBorder="1"/>
    <xf numFmtId="166" fontId="3" fillId="0" borderId="0" xfId="3" applyNumberFormat="1" applyFont="1" applyFill="1" applyBorder="1"/>
    <xf numFmtId="164" fontId="3" fillId="0" borderId="0" xfId="1" applyNumberFormat="1" applyFont="1" applyFill="1" applyBorder="1" applyAlignment="1">
      <alignment horizontal="center"/>
    </xf>
    <xf numFmtId="167" fontId="3" fillId="0" borderId="0" xfId="3" applyNumberFormat="1" applyFont="1" applyFill="1" applyBorder="1"/>
    <xf numFmtId="164" fontId="3" fillId="0" borderId="0" xfId="1" applyNumberFormat="1" applyFont="1" applyFill="1" applyAlignment="1">
      <alignment horizontal="right"/>
    </xf>
    <xf numFmtId="167" fontId="3" fillId="0" borderId="0" xfId="3" applyNumberFormat="1" applyFont="1" applyFill="1" applyBorder="1" applyAlignment="1">
      <alignment horizontal="right"/>
    </xf>
    <xf numFmtId="165" fontId="3" fillId="0" borderId="0" xfId="2" applyNumberFormat="1" applyFont="1" applyFill="1" applyAlignment="1">
      <alignment horizontal="left" indent="2"/>
    </xf>
    <xf numFmtId="44" fontId="3" fillId="0" borderId="0" xfId="2" applyFont="1" applyFill="1"/>
    <xf numFmtId="168" fontId="3" fillId="0" borderId="0" xfId="2" applyNumberFormat="1" applyFont="1" applyFill="1" applyBorder="1"/>
    <xf numFmtId="164" fontId="3" fillId="0" borderId="0" xfId="0" applyNumberFormat="1" applyFont="1"/>
    <xf numFmtId="0" fontId="6" fillId="0" borderId="0" xfId="4" quotePrefix="1" applyFont="1" applyAlignment="1">
      <alignment horizontal="right" wrapText="1"/>
    </xf>
    <xf numFmtId="44" fontId="3" fillId="0" borderId="0" xfId="1" applyNumberFormat="1" applyFont="1" applyFill="1" applyBorder="1"/>
    <xf numFmtId="43" fontId="3" fillId="0" borderId="0" xfId="1" applyFont="1" applyFill="1" applyBorder="1"/>
    <xf numFmtId="0" fontId="3" fillId="0" borderId="0" xfId="1" applyNumberFormat="1" applyFont="1" applyFill="1" applyBorder="1"/>
    <xf numFmtId="9" fontId="0" fillId="0" borderId="0" xfId="3" applyFont="1" applyFill="1" applyAlignment="1">
      <alignment horizontal="center"/>
    </xf>
    <xf numFmtId="165" fontId="8" fillId="0" borderId="0" xfId="2" applyNumberFormat="1" applyFont="1" applyFill="1" applyAlignment="1">
      <alignment horizontal="center"/>
    </xf>
    <xf numFmtId="170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0" xfId="0" applyFont="1"/>
    <xf numFmtId="0" fontId="0" fillId="3" borderId="0" xfId="0" applyFill="1"/>
    <xf numFmtId="42" fontId="0" fillId="3" borderId="0" xfId="0" applyNumberFormat="1" applyFill="1"/>
    <xf numFmtId="0" fontId="0" fillId="4" borderId="0" xfId="0" applyFill="1"/>
    <xf numFmtId="42" fontId="0" fillId="4" borderId="0" xfId="0" applyNumberFormat="1" applyFill="1"/>
    <xf numFmtId="166" fontId="0" fillId="4" borderId="0" xfId="0" applyNumberFormat="1" applyFill="1"/>
    <xf numFmtId="165" fontId="3" fillId="0" borderId="0" xfId="2" applyNumberFormat="1" applyFont="1" applyFill="1" applyBorder="1" applyAlignment="1">
      <alignment horizontal="left" indent="1"/>
    </xf>
    <xf numFmtId="165" fontId="3" fillId="0" borderId="3" xfId="2" applyNumberFormat="1" applyFont="1" applyFill="1" applyBorder="1" applyAlignment="1">
      <alignment horizontal="left"/>
    </xf>
    <xf numFmtId="165" fontId="3" fillId="0" borderId="0" xfId="2" applyNumberFormat="1" applyFont="1" applyFill="1" applyBorder="1" applyAlignment="1">
      <alignment horizontal="left" indent="2"/>
    </xf>
    <xf numFmtId="44" fontId="3" fillId="0" borderId="0" xfId="0" applyNumberFormat="1" applyFont="1"/>
    <xf numFmtId="166" fontId="3" fillId="0" borderId="0" xfId="0" applyNumberFormat="1" applyFont="1" applyAlignment="1">
      <alignment horizontal="center"/>
    </xf>
    <xf numFmtId="43" fontId="3" fillId="0" borderId="0" xfId="1" applyFont="1" applyFill="1"/>
    <xf numFmtId="165" fontId="3" fillId="0" borderId="0" xfId="2" applyNumberFormat="1" applyFont="1" applyFill="1" applyAlignment="1">
      <alignment horizontal="left"/>
    </xf>
    <xf numFmtId="9" fontId="3" fillId="0" borderId="0" xfId="3" applyFont="1" applyFill="1" applyBorder="1"/>
    <xf numFmtId="164" fontId="12" fillId="0" borderId="0" xfId="1" applyNumberFormat="1" applyFont="1" applyFill="1" applyBorder="1"/>
    <xf numFmtId="174" fontId="3" fillId="0" borderId="0" xfId="1" applyNumberFormat="1" applyFont="1" applyFill="1" applyBorder="1"/>
    <xf numFmtId="165" fontId="3" fillId="0" borderId="0" xfId="1" applyNumberFormat="1" applyFont="1" applyFill="1" applyBorder="1"/>
    <xf numFmtId="164" fontId="3" fillId="0" borderId="0" xfId="1" applyNumberFormat="1" applyFont="1" applyFill="1" applyBorder="1" applyAlignment="1">
      <alignment horizontal="left"/>
    </xf>
    <xf numFmtId="164" fontId="3" fillId="0" borderId="0" xfId="1" applyNumberFormat="1" applyFont="1" applyFill="1" applyBorder="1" applyAlignment="1"/>
    <xf numFmtId="164" fontId="3" fillId="0" borderId="0" xfId="1" quotePrefix="1" applyNumberFormat="1" applyFont="1" applyFill="1" applyBorder="1" applyAlignment="1">
      <alignment horizontal="right"/>
    </xf>
    <xf numFmtId="164" fontId="3" fillId="0" borderId="0" xfId="1" quotePrefix="1" applyNumberFormat="1" applyFont="1" applyFill="1" applyBorder="1" applyAlignment="1"/>
    <xf numFmtId="164" fontId="3" fillId="0" borderId="3" xfId="1" applyNumberFormat="1" applyFont="1" applyFill="1" applyBorder="1" applyAlignment="1"/>
    <xf numFmtId="164" fontId="3" fillId="0" borderId="3" xfId="2" applyNumberFormat="1" applyFont="1" applyFill="1" applyBorder="1" applyAlignment="1"/>
    <xf numFmtId="164" fontId="3" fillId="0" borderId="1" xfId="1" applyNumberFormat="1" applyFont="1" applyFill="1" applyBorder="1" applyAlignment="1"/>
    <xf numFmtId="164" fontId="3" fillId="0" borderId="1" xfId="2" applyNumberFormat="1" applyFont="1" applyFill="1" applyBorder="1" applyAlignment="1"/>
    <xf numFmtId="164" fontId="3" fillId="0" borderId="0" xfId="2" applyNumberFormat="1" applyFont="1" applyFill="1" applyBorder="1"/>
    <xf numFmtId="0" fontId="2" fillId="0" borderId="0" xfId="0" applyFont="1"/>
    <xf numFmtId="173" fontId="0" fillId="0" borderId="0" xfId="0" applyNumberFormat="1" applyAlignment="1">
      <alignment horizontal="center"/>
    </xf>
    <xf numFmtId="0" fontId="13" fillId="0" borderId="0" xfId="0" applyFont="1" applyAlignment="1">
      <alignment vertical="center"/>
    </xf>
    <xf numFmtId="0" fontId="10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1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172" fontId="0" fillId="0" borderId="0" xfId="0" applyNumberFormat="1"/>
    <xf numFmtId="0" fontId="10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64" fontId="3" fillId="0" borderId="3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42" fontId="3" fillId="0" borderId="5" xfId="2" applyNumberFormat="1" applyFont="1" applyFill="1" applyBorder="1"/>
    <xf numFmtId="164" fontId="9" fillId="0" borderId="0" xfId="1" applyNumberFormat="1" applyFont="1" applyFill="1"/>
    <xf numFmtId="164" fontId="9" fillId="0" borderId="0" xfId="1" applyNumberFormat="1" applyFont="1" applyFill="1" applyBorder="1"/>
    <xf numFmtId="168" fontId="3" fillId="0" borderId="0" xfId="2" applyNumberFormat="1" applyFont="1" applyFill="1"/>
    <xf numFmtId="9" fontId="3" fillId="0" borderId="0" xfId="3" applyFont="1" applyFill="1"/>
    <xf numFmtId="44" fontId="3" fillId="0" borderId="5" xfId="2" applyFont="1" applyFill="1" applyBorder="1"/>
    <xf numFmtId="170" fontId="0" fillId="0" borderId="0" xfId="0" applyNumberFormat="1"/>
    <xf numFmtId="9" fontId="0" fillId="0" borderId="0" xfId="0" applyNumberFormat="1"/>
    <xf numFmtId="171" fontId="0" fillId="0" borderId="0" xfId="0" applyNumberFormat="1"/>
    <xf numFmtId="10" fontId="3" fillId="0" borderId="0" xfId="3" applyNumberFormat="1" applyFont="1" applyFill="1"/>
    <xf numFmtId="0" fontId="3" fillId="0" borderId="0" xfId="5" applyFont="1"/>
    <xf numFmtId="0" fontId="3" fillId="0" borderId="1" xfId="5" applyFont="1" applyBorder="1"/>
    <xf numFmtId="0" fontId="3" fillId="0" borderId="2" xfId="5" applyFont="1" applyBorder="1" applyAlignment="1">
      <alignment horizontal="left"/>
    </xf>
    <xf numFmtId="0" fontId="3" fillId="0" borderId="0" xfId="5" applyFont="1" applyAlignment="1">
      <alignment horizontal="left"/>
    </xf>
    <xf numFmtId="0" fontId="3" fillId="0" borderId="0" xfId="5" applyFont="1" applyAlignment="1">
      <alignment horizontal="right"/>
    </xf>
    <xf numFmtId="0" fontId="3" fillId="0" borderId="1" xfId="5" applyFont="1" applyBorder="1" applyAlignment="1">
      <alignment horizontal="center"/>
    </xf>
    <xf numFmtId="0" fontId="3" fillId="0" borderId="0" xfId="5" quotePrefix="1" applyFont="1" applyAlignment="1">
      <alignment horizontal="center"/>
    </xf>
    <xf numFmtId="0" fontId="3" fillId="0" borderId="0" xfId="5" applyFont="1" applyAlignment="1">
      <alignment horizontal="center"/>
    </xf>
    <xf numFmtId="0" fontId="3" fillId="0" borderId="1" xfId="5" quotePrefix="1" applyFont="1" applyBorder="1" applyAlignment="1">
      <alignment horizontal="center"/>
    </xf>
    <xf numFmtId="164" fontId="3" fillId="0" borderId="0" xfId="6" applyNumberFormat="1" applyFont="1" applyFill="1"/>
    <xf numFmtId="1" fontId="3" fillId="0" borderId="0" xfId="5" applyNumberFormat="1" applyFont="1"/>
    <xf numFmtId="165" fontId="3" fillId="0" borderId="0" xfId="7" applyNumberFormat="1" applyFont="1" applyFill="1"/>
    <xf numFmtId="166" fontId="3" fillId="0" borderId="0" xfId="8" applyNumberFormat="1" applyFont="1" applyFill="1"/>
    <xf numFmtId="164" fontId="3" fillId="0" borderId="0" xfId="5" applyNumberFormat="1" applyFont="1"/>
    <xf numFmtId="9" fontId="3" fillId="0" borderId="0" xfId="8" applyFont="1" applyFill="1"/>
    <xf numFmtId="164" fontId="3" fillId="0" borderId="0" xfId="6" applyNumberFormat="1" applyFont="1" applyFill="1" applyBorder="1"/>
    <xf numFmtId="0" fontId="3" fillId="0" borderId="2" xfId="5" applyFont="1" applyBorder="1"/>
    <xf numFmtId="164" fontId="3" fillId="0" borderId="2" xfId="6" applyNumberFormat="1" applyFont="1" applyFill="1" applyBorder="1"/>
    <xf numFmtId="166" fontId="3" fillId="0" borderId="2" xfId="8" applyNumberFormat="1" applyFont="1" applyFill="1" applyBorder="1"/>
    <xf numFmtId="37" fontId="3" fillId="0" borderId="0" xfId="5" applyNumberFormat="1" applyFont="1"/>
    <xf numFmtId="165" fontId="3" fillId="0" borderId="0" xfId="5" applyNumberFormat="1" applyFont="1"/>
    <xf numFmtId="165" fontId="9" fillId="0" borderId="0" xfId="7" applyNumberFormat="1" applyFont="1" applyFill="1"/>
    <xf numFmtId="165" fontId="3" fillId="0" borderId="0" xfId="7" applyNumberFormat="1" applyFont="1" applyFill="1" applyBorder="1" applyAlignment="1"/>
    <xf numFmtId="164" fontId="3" fillId="0" borderId="0" xfId="6" applyNumberFormat="1" applyFont="1" applyFill="1" applyBorder="1" applyAlignment="1">
      <alignment horizontal="center"/>
    </xf>
    <xf numFmtId="165" fontId="3" fillId="0" borderId="0" xfId="7" applyNumberFormat="1" applyFont="1" applyFill="1" applyBorder="1"/>
    <xf numFmtId="164" fontId="3" fillId="0" borderId="3" xfId="6" applyNumberFormat="1" applyFont="1" applyFill="1" applyBorder="1"/>
    <xf numFmtId="164" fontId="3" fillId="0" borderId="0" xfId="7" applyNumberFormat="1" applyFont="1" applyFill="1" applyBorder="1"/>
    <xf numFmtId="164" fontId="9" fillId="0" borderId="0" xfId="5" applyNumberFormat="1" applyFont="1"/>
    <xf numFmtId="166" fontId="3" fillId="0" borderId="0" xfId="5" applyNumberFormat="1" applyFont="1"/>
    <xf numFmtId="166" fontId="3" fillId="0" borderId="0" xfId="8" applyNumberFormat="1" applyFont="1" applyFill="1" applyBorder="1"/>
    <xf numFmtId="166" fontId="3" fillId="0" borderId="0" xfId="3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169" fontId="3" fillId="0" borderId="0" xfId="5" applyNumberFormat="1" applyFont="1"/>
    <xf numFmtId="9" fontId="11" fillId="0" borderId="0" xfId="3" applyFont="1"/>
    <xf numFmtId="165" fontId="3" fillId="0" borderId="0" xfId="7" applyNumberFormat="1" applyFont="1" applyFill="1" applyAlignment="1"/>
    <xf numFmtId="0" fontId="11" fillId="0" borderId="0" xfId="0" applyFont="1" applyAlignment="1">
      <alignment horizontal="center"/>
    </xf>
    <xf numFmtId="44" fontId="0" fillId="0" borderId="0" xfId="0" applyNumberFormat="1"/>
    <xf numFmtId="37" fontId="3" fillId="0" borderId="0" xfId="1" applyNumberFormat="1" applyFont="1" applyFill="1" applyBorder="1"/>
    <xf numFmtId="164" fontId="15" fillId="0" borderId="0" xfId="1" applyNumberFormat="1" applyFont="1" applyFill="1" applyBorder="1"/>
    <xf numFmtId="44" fontId="15" fillId="0" borderId="0" xfId="2" applyFont="1" applyFill="1" applyBorder="1"/>
    <xf numFmtId="165" fontId="0" fillId="0" borderId="0" xfId="0" applyNumberFormat="1"/>
    <xf numFmtId="165" fontId="3" fillId="0" borderId="1" xfId="2" applyNumberFormat="1" applyFont="1" applyFill="1" applyBorder="1"/>
    <xf numFmtId="164" fontId="3" fillId="0" borderId="0" xfId="1" applyNumberFormat="1" applyFont="1" applyFill="1" applyBorder="1" applyAlignment="1">
      <alignment horizontal="right"/>
    </xf>
    <xf numFmtId="42" fontId="3" fillId="0" borderId="0" xfId="1" applyNumberFormat="1" applyFont="1" applyFill="1" applyBorder="1"/>
    <xf numFmtId="37" fontId="3" fillId="0" borderId="0" xfId="2" applyNumberFormat="1" applyFont="1" applyFill="1"/>
    <xf numFmtId="166" fontId="3" fillId="0" borderId="0" xfId="1" applyNumberFormat="1" applyFont="1" applyFill="1" applyBorder="1" applyAlignment="1">
      <alignment horizontal="right"/>
    </xf>
    <xf numFmtId="42" fontId="3" fillId="0" borderId="4" xfId="1" applyNumberFormat="1" applyFont="1" applyFill="1" applyBorder="1"/>
    <xf numFmtId="177" fontId="0" fillId="0" borderId="0" xfId="0" applyNumberFormat="1"/>
    <xf numFmtId="42" fontId="3" fillId="0" borderId="0" xfId="2" applyNumberFormat="1" applyFont="1" applyFill="1" applyBorder="1"/>
    <xf numFmtId="0" fontId="18" fillId="0" borderId="0" xfId="0" applyFont="1"/>
    <xf numFmtId="44" fontId="3" fillId="0" borderId="1" xfId="1" applyNumberFormat="1" applyFont="1" applyFill="1" applyBorder="1"/>
    <xf numFmtId="165" fontId="3" fillId="0" borderId="1" xfId="1" applyNumberFormat="1" applyFont="1" applyFill="1" applyBorder="1"/>
    <xf numFmtId="37" fontId="3" fillId="0" borderId="4" xfId="2" applyNumberFormat="1" applyFont="1" applyFill="1" applyBorder="1"/>
    <xf numFmtId="37" fontId="16" fillId="0" borderId="4" xfId="2" applyNumberFormat="1" applyFont="1" applyFill="1" applyBorder="1"/>
    <xf numFmtId="165" fontId="3" fillId="0" borderId="4" xfId="2" applyNumberFormat="1" applyFont="1" applyFill="1" applyBorder="1"/>
    <xf numFmtId="1" fontId="0" fillId="0" borderId="0" xfId="0" applyNumberFormat="1"/>
    <xf numFmtId="164" fontId="0" fillId="0" borderId="0" xfId="6" applyNumberFormat="1" applyFont="1"/>
    <xf numFmtId="3" fontId="3" fillId="0" borderId="0" xfId="5" applyNumberFormat="1" applyFont="1"/>
    <xf numFmtId="0" fontId="2" fillId="0" borderId="3" xfId="0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6" borderId="0" xfId="0" applyFill="1" applyAlignment="1">
      <alignment horizontal="right"/>
    </xf>
    <xf numFmtId="0" fontId="0" fillId="11" borderId="0" xfId="0" applyFill="1" applyAlignment="1">
      <alignment horizontal="right"/>
    </xf>
    <xf numFmtId="0" fontId="2" fillId="0" borderId="0" xfId="0" applyFont="1" applyAlignment="1">
      <alignment horizontal="right"/>
    </xf>
    <xf numFmtId="166" fontId="3" fillId="0" borderId="0" xfId="3" applyNumberFormat="1" applyFont="1" applyFill="1"/>
    <xf numFmtId="0" fontId="10" fillId="2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176" fontId="10" fillId="0" borderId="3" xfId="6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43" fontId="0" fillId="0" borderId="0" xfId="6" applyFont="1"/>
    <xf numFmtId="167" fontId="0" fillId="0" borderId="0" xfId="8" applyNumberFormat="1" applyFont="1"/>
    <xf numFmtId="44" fontId="0" fillId="0" borderId="0" xfId="7" applyFont="1"/>
    <xf numFmtId="165" fontId="0" fillId="0" borderId="0" xfId="7" applyNumberFormat="1" applyFont="1"/>
    <xf numFmtId="0" fontId="6" fillId="0" borderId="1" xfId="4" applyFont="1" applyBorder="1" applyAlignment="1">
      <alignment horizontal="center" wrapTex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/>
    </xf>
    <xf numFmtId="0" fontId="6" fillId="0" borderId="7" xfId="4" quotePrefix="1" applyFont="1" applyBorder="1" applyAlignment="1">
      <alignment horizontal="center" wrapText="1"/>
    </xf>
    <xf numFmtId="167" fontId="3" fillId="0" borderId="0" xfId="0" applyNumberFormat="1" applyFont="1"/>
    <xf numFmtId="165" fontId="3" fillId="0" borderId="0" xfId="0" applyNumberFormat="1" applyFont="1"/>
    <xf numFmtId="0" fontId="6" fillId="0" borderId="0" xfId="4" applyFont="1" applyAlignment="1">
      <alignment horizontal="left" wrapText="1"/>
    </xf>
    <xf numFmtId="0" fontId="6" fillId="0" borderId="2" xfId="4" applyFont="1" applyBorder="1" applyAlignment="1">
      <alignment horizontal="left" wrapText="1"/>
    </xf>
    <xf numFmtId="164" fontId="3" fillId="0" borderId="6" xfId="0" applyNumberFormat="1" applyFont="1" applyBorder="1"/>
    <xf numFmtId="0" fontId="12" fillId="0" borderId="0" xfId="0" applyFont="1"/>
    <xf numFmtId="174" fontId="3" fillId="0" borderId="0" xfId="0" applyNumberFormat="1" applyFont="1"/>
    <xf numFmtId="165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/>
    <xf numFmtId="164" fontId="3" fillId="0" borderId="1" xfId="0" applyNumberFormat="1" applyFont="1" applyBorder="1"/>
    <xf numFmtId="166" fontId="3" fillId="0" borderId="1" xfId="3" applyNumberFormat="1" applyFont="1" applyFill="1" applyBorder="1"/>
    <xf numFmtId="164" fontId="3" fillId="0" borderId="4" xfId="0" applyNumberFormat="1" applyFont="1" applyBorder="1"/>
    <xf numFmtId="0" fontId="3" fillId="0" borderId="6" xfId="0" applyFont="1" applyBorder="1"/>
    <xf numFmtId="9" fontId="3" fillId="0" borderId="0" xfId="0" applyNumberFormat="1" applyFont="1"/>
    <xf numFmtId="164" fontId="3" fillId="0" borderId="3" xfId="0" applyNumberFormat="1" applyFont="1" applyBorder="1"/>
    <xf numFmtId="37" fontId="3" fillId="0" borderId="0" xfId="0" applyNumberFormat="1" applyFont="1"/>
    <xf numFmtId="37" fontId="3" fillId="0" borderId="3" xfId="0" applyNumberFormat="1" applyFont="1" applyBorder="1"/>
    <xf numFmtId="1" fontId="3" fillId="0" borderId="0" xfId="0" applyNumberFormat="1" applyFont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0" xfId="0" applyNumberFormat="1" applyFont="1"/>
    <xf numFmtId="3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right"/>
    </xf>
    <xf numFmtId="164" fontId="3" fillId="0" borderId="0" xfId="0" quotePrefix="1" applyNumberFormat="1" applyFont="1"/>
    <xf numFmtId="165" fontId="3" fillId="0" borderId="1" xfId="0" applyNumberFormat="1" applyFont="1" applyBorder="1"/>
    <xf numFmtId="0" fontId="3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2" xfId="0" applyFont="1" applyBorder="1"/>
    <xf numFmtId="0" fontId="3" fillId="0" borderId="3" xfId="0" quotePrefix="1" applyFont="1" applyBorder="1" applyAlignment="1">
      <alignment horizontal="center"/>
    </xf>
    <xf numFmtId="175" fontId="3" fillId="0" borderId="0" xfId="2" applyNumberFormat="1" applyFont="1" applyFill="1" applyBorder="1"/>
    <xf numFmtId="165" fontId="15" fillId="0" borderId="1" xfId="0" applyNumberFormat="1" applyFont="1" applyBorder="1"/>
    <xf numFmtId="0" fontId="6" fillId="0" borderId="3" xfId="4" applyFont="1" applyBorder="1" applyAlignment="1">
      <alignment horizontal="center" wrapText="1"/>
    </xf>
    <xf numFmtId="0" fontId="6" fillId="0" borderId="0" xfId="4" applyFont="1" applyAlignment="1">
      <alignment horizontal="left" wrapText="1" indent="1"/>
    </xf>
    <xf numFmtId="0" fontId="0" fillId="0" borderId="1" xfId="0" applyBorder="1"/>
    <xf numFmtId="49" fontId="6" fillId="0" borderId="6" xfId="4" applyNumberFormat="1" applyFont="1" applyBorder="1" applyAlignment="1">
      <alignment horizontal="left" wrapText="1"/>
    </xf>
    <xf numFmtId="49" fontId="6" fillId="0" borderId="0" xfId="4" applyNumberFormat="1" applyFont="1" applyAlignment="1">
      <alignment horizontal="left" wrapText="1"/>
    </xf>
    <xf numFmtId="166" fontId="3" fillId="0" borderId="0" xfId="2" applyNumberFormat="1" applyFont="1" applyFill="1" applyBorder="1"/>
    <xf numFmtId="7" fontId="3" fillId="0" borderId="0" xfId="2" applyNumberFormat="1" applyFont="1" applyFill="1" applyBorder="1"/>
    <xf numFmtId="3" fontId="16" fillId="0" borderId="0" xfId="0" applyNumberFormat="1" applyFont="1"/>
    <xf numFmtId="49" fontId="6" fillId="0" borderId="1" xfId="4" applyNumberFormat="1" applyFont="1" applyBorder="1" applyAlignment="1">
      <alignment horizontal="left" wrapText="1"/>
    </xf>
    <xf numFmtId="3" fontId="16" fillId="0" borderId="1" xfId="0" applyNumberFormat="1" applyFont="1" applyBorder="1"/>
    <xf numFmtId="37" fontId="3" fillId="0" borderId="1" xfId="1" applyNumberFormat="1" applyFont="1" applyFill="1" applyBorder="1"/>
    <xf numFmtId="44" fontId="3" fillId="0" borderId="1" xfId="2" applyFont="1" applyFill="1" applyBorder="1"/>
    <xf numFmtId="7" fontId="3" fillId="0" borderId="1" xfId="2" applyNumberFormat="1" applyFont="1" applyFill="1" applyBorder="1"/>
    <xf numFmtId="0" fontId="16" fillId="0" borderId="0" xfId="0" applyFont="1"/>
    <xf numFmtId="165" fontId="14" fillId="0" borderId="0" xfId="0" applyNumberFormat="1" applyFont="1"/>
    <xf numFmtId="173" fontId="0" fillId="0" borderId="0" xfId="0" applyNumberFormat="1"/>
    <xf numFmtId="42" fontId="3" fillId="0" borderId="0" xfId="0" applyNumberFormat="1" applyFont="1"/>
    <xf numFmtId="173" fontId="3" fillId="0" borderId="1" xfId="0" applyNumberFormat="1" applyFont="1" applyBorder="1"/>
    <xf numFmtId="165" fontId="6" fillId="0" borderId="0" xfId="4" applyNumberFormat="1" applyFont="1" applyAlignment="1">
      <alignment horizontal="left" wrapText="1"/>
    </xf>
    <xf numFmtId="166" fontId="0" fillId="0" borderId="0" xfId="0" applyNumberFormat="1"/>
    <xf numFmtId="0" fontId="3" fillId="0" borderId="3" xfId="0" quotePrefix="1" applyFont="1" applyBorder="1"/>
    <xf numFmtId="0" fontId="17" fillId="0" borderId="0" xfId="4" applyFont="1" applyAlignment="1">
      <alignment horizontal="center" wrapText="1"/>
    </xf>
    <xf numFmtId="0" fontId="16" fillId="0" borderId="0" xfId="4" applyFont="1" applyAlignment="1">
      <alignment wrapText="1"/>
    </xf>
    <xf numFmtId="0" fontId="16" fillId="0" borderId="0" xfId="4" applyFont="1" applyAlignment="1">
      <alignment horizontal="left" wrapText="1"/>
    </xf>
    <xf numFmtId="164" fontId="16" fillId="0" borderId="0" xfId="0" applyNumberFormat="1" applyFont="1" applyAlignment="1">
      <alignment horizontal="right"/>
    </xf>
    <xf numFmtId="42" fontId="3" fillId="0" borderId="0" xfId="2" applyNumberFormat="1" applyFont="1" applyFill="1"/>
    <xf numFmtId="0" fontId="6" fillId="0" borderId="3" xfId="4" applyFont="1" applyBorder="1" applyAlignment="1">
      <alignment horizontal="left" wrapText="1"/>
    </xf>
    <xf numFmtId="0" fontId="3" fillId="0" borderId="3" xfId="0" applyFont="1" applyBorder="1" applyAlignment="1">
      <alignment horizontal="right"/>
    </xf>
    <xf numFmtId="178" fontId="3" fillId="0" borderId="0" xfId="3" applyNumberFormat="1" applyFont="1" applyFill="1"/>
    <xf numFmtId="0" fontId="6" fillId="0" borderId="0" xfId="4" applyFont="1" applyAlignment="1">
      <alignment horizontal="left"/>
    </xf>
    <xf numFmtId="165" fontId="3" fillId="0" borderId="5" xfId="2" applyNumberFormat="1" applyFont="1" applyFill="1" applyBorder="1"/>
    <xf numFmtId="2" fontId="0" fillId="0" borderId="0" xfId="0" applyNumberFormat="1"/>
    <xf numFmtId="9" fontId="0" fillId="0" borderId="0" xfId="3" applyFont="1"/>
    <xf numFmtId="43" fontId="10" fillId="0" borderId="0" xfId="1" applyFont="1" applyAlignment="1">
      <alignment horizontal="center"/>
    </xf>
    <xf numFmtId="0" fontId="3" fillId="0" borderId="1" xfId="5" applyFont="1" applyBorder="1" applyAlignment="1">
      <alignment horizontal="right"/>
    </xf>
    <xf numFmtId="0" fontId="7" fillId="0" borderId="1" xfId="5" applyBorder="1"/>
    <xf numFmtId="0" fontId="7" fillId="0" borderId="0" xfId="5"/>
    <xf numFmtId="0" fontId="8" fillId="0" borderId="0" xfId="5" quotePrefix="1" applyFont="1" applyAlignment="1">
      <alignment horizontal="center"/>
    </xf>
    <xf numFmtId="0" fontId="3" fillId="0" borderId="9" xfId="5" applyFont="1" applyBorder="1" applyAlignment="1">
      <alignment horizontal="center"/>
    </xf>
    <xf numFmtId="0" fontId="3" fillId="0" borderId="6" xfId="5" quotePrefix="1" applyFont="1" applyBorder="1" applyAlignment="1">
      <alignment horizontal="center"/>
    </xf>
    <xf numFmtId="0" fontId="3" fillId="0" borderId="10" xfId="5" quotePrefix="1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12" xfId="5" quotePrefix="1" applyFont="1" applyBorder="1" applyAlignment="1">
      <alignment horizontal="center"/>
    </xf>
    <xf numFmtId="0" fontId="3" fillId="0" borderId="1" xfId="4" quotePrefix="1" applyFont="1" applyBorder="1" applyAlignment="1">
      <alignment horizontal="center" wrapText="1"/>
    </xf>
    <xf numFmtId="165" fontId="3" fillId="0" borderId="1" xfId="7" applyNumberFormat="1" applyFont="1" applyFill="1" applyBorder="1" applyAlignment="1">
      <alignment horizontal="center"/>
    </xf>
    <xf numFmtId="165" fontId="3" fillId="0" borderId="13" xfId="7" applyNumberFormat="1" applyFont="1" applyFill="1" applyBorder="1" applyAlignment="1">
      <alignment horizontal="center"/>
    </xf>
    <xf numFmtId="165" fontId="3" fillId="0" borderId="14" xfId="7" applyNumberFormat="1" applyFont="1" applyFill="1" applyBorder="1" applyAlignment="1">
      <alignment horizontal="center"/>
    </xf>
    <xf numFmtId="0" fontId="3" fillId="0" borderId="0" xfId="4" applyFont="1" applyAlignment="1">
      <alignment wrapText="1"/>
    </xf>
    <xf numFmtId="44" fontId="3" fillId="0" borderId="11" xfId="7" applyFont="1" applyFill="1" applyBorder="1"/>
    <xf numFmtId="44" fontId="3" fillId="0" borderId="0" xfId="7" applyFont="1" applyFill="1" applyBorder="1"/>
    <xf numFmtId="44" fontId="3" fillId="0" borderId="15" xfId="7" applyFont="1" applyFill="1" applyBorder="1"/>
    <xf numFmtId="167" fontId="3" fillId="0" borderId="0" xfId="8" applyNumberFormat="1" applyFont="1" applyFill="1" applyBorder="1"/>
    <xf numFmtId="179" fontId="3" fillId="0" borderId="15" xfId="6" applyNumberFormat="1" applyFont="1" applyFill="1" applyBorder="1"/>
    <xf numFmtId="179" fontId="3" fillId="0" borderId="0" xfId="6" applyNumberFormat="1" applyFont="1" applyFill="1" applyBorder="1"/>
    <xf numFmtId="179" fontId="3" fillId="0" borderId="11" xfId="6" applyNumberFormat="1" applyFont="1" applyFill="1" applyBorder="1"/>
    <xf numFmtId="2" fontId="3" fillId="0" borderId="11" xfId="6" applyNumberFormat="1" applyFont="1" applyFill="1" applyBorder="1"/>
    <xf numFmtId="2" fontId="3" fillId="0" borderId="0" xfId="6" applyNumberFormat="1" applyFont="1" applyFill="1" applyBorder="1"/>
    <xf numFmtId="43" fontId="3" fillId="0" borderId="0" xfId="5" applyNumberFormat="1" applyFont="1" applyAlignment="1">
      <alignment horizontal="center"/>
    </xf>
    <xf numFmtId="43" fontId="3" fillId="0" borderId="0" xfId="6" applyFont="1" applyFill="1" applyBorder="1" applyAlignment="1">
      <alignment horizontal="center"/>
    </xf>
    <xf numFmtId="43" fontId="3" fillId="0" borderId="0" xfId="6" applyFont="1" applyFill="1" applyBorder="1"/>
    <xf numFmtId="169" fontId="3" fillId="0" borderId="0" xfId="5" applyNumberFormat="1" applyFont="1" applyAlignment="1">
      <alignment horizontal="center"/>
    </xf>
    <xf numFmtId="0" fontId="3" fillId="0" borderId="0" xfId="5" applyFont="1" applyAlignment="1">
      <alignment horizontal="left" indent="2"/>
    </xf>
    <xf numFmtId="9" fontId="3" fillId="0" borderId="0" xfId="8" applyFont="1" applyFill="1" applyBorder="1"/>
    <xf numFmtId="175" fontId="3" fillId="0" borderId="0" xfId="6" applyNumberFormat="1" applyFont="1" applyFill="1" applyBorder="1"/>
    <xf numFmtId="0" fontId="3" fillId="0" borderId="0" xfId="4" applyFont="1" applyAlignment="1">
      <alignment horizontal="center" wrapText="1"/>
    </xf>
    <xf numFmtId="43" fontId="3" fillId="0" borderId="15" xfId="6" applyFont="1" applyFill="1" applyBorder="1"/>
    <xf numFmtId="43" fontId="3" fillId="0" borderId="11" xfId="6" applyFont="1" applyFill="1" applyBorder="1"/>
    <xf numFmtId="44" fontId="3" fillId="0" borderId="12" xfId="7" applyFont="1" applyFill="1" applyBorder="1"/>
    <xf numFmtId="0" fontId="4" fillId="0" borderId="0" xfId="5" applyFont="1" applyAlignment="1">
      <alignment horizontal="center"/>
    </xf>
    <xf numFmtId="0" fontId="4" fillId="0" borderId="0" xfId="5" applyFont="1"/>
    <xf numFmtId="167" fontId="7" fillId="0" borderId="0" xfId="8" applyNumberFormat="1" applyFont="1" applyFill="1"/>
    <xf numFmtId="44" fontId="7" fillId="0" borderId="0" xfId="5" applyNumberFormat="1"/>
    <xf numFmtId="169" fontId="3" fillId="0" borderId="0" xfId="6" applyNumberFormat="1" applyFont="1" applyFill="1" applyBorder="1" applyAlignment="1">
      <alignment horizontal="center"/>
    </xf>
    <xf numFmtId="164" fontId="3" fillId="0" borderId="1" xfId="6" applyNumberFormat="1" applyFont="1" applyFill="1" applyBorder="1" applyAlignment="1"/>
    <xf numFmtId="0" fontId="21" fillId="0" borderId="0" xfId="5" applyFont="1" applyAlignment="1">
      <alignment horizontal="center"/>
    </xf>
    <xf numFmtId="0" fontId="3" fillId="0" borderId="0" xfId="4" quotePrefix="1" applyFont="1" applyAlignment="1">
      <alignment horizontal="center" wrapText="1"/>
    </xf>
    <xf numFmtId="165" fontId="3" fillId="0" borderId="0" xfId="7" applyNumberFormat="1" applyFont="1" applyFill="1" applyBorder="1" applyAlignment="1">
      <alignment horizontal="center"/>
    </xf>
    <xf numFmtId="0" fontId="3" fillId="0" borderId="0" xfId="4" applyFont="1" applyAlignment="1">
      <alignment horizontal="right"/>
    </xf>
    <xf numFmtId="43" fontId="3" fillId="0" borderId="0" xfId="6" applyFont="1" applyFill="1" applyBorder="1" applyAlignment="1">
      <alignment horizontal="left"/>
    </xf>
    <xf numFmtId="44" fontId="7" fillId="0" borderId="0" xfId="7" applyFont="1" applyFill="1" applyBorder="1"/>
    <xf numFmtId="3" fontId="3" fillId="0" borderId="0" xfId="4" applyNumberFormat="1" applyFont="1" applyAlignment="1">
      <alignment horizontal="right"/>
    </xf>
    <xf numFmtId="3" fontId="3" fillId="0" borderId="0" xfId="4" applyNumberFormat="1" applyFont="1" applyAlignment="1">
      <alignment wrapText="1"/>
    </xf>
    <xf numFmtId="43" fontId="7" fillId="0" borderId="0" xfId="6" applyFont="1" applyFill="1" applyBorder="1"/>
    <xf numFmtId="43" fontId="7" fillId="0" borderId="0" xfId="5" applyNumberFormat="1"/>
    <xf numFmtId="43" fontId="3" fillId="0" borderId="0" xfId="5" applyNumberFormat="1" applyFont="1"/>
    <xf numFmtId="43" fontId="3" fillId="0" borderId="16" xfId="6" applyFont="1" applyFill="1" applyBorder="1" applyAlignment="1">
      <alignment horizontal="left"/>
    </xf>
    <xf numFmtId="9" fontId="7" fillId="0" borderId="0" xfId="8" applyFont="1" applyFill="1"/>
    <xf numFmtId="9" fontId="7" fillId="0" borderId="0" xfId="8" applyFont="1" applyFill="1" applyBorder="1"/>
    <xf numFmtId="44" fontId="7" fillId="0" borderId="11" xfId="7" applyFont="1" applyFill="1" applyBorder="1"/>
    <xf numFmtId="44" fontId="7" fillId="0" borderId="0" xfId="7" applyFont="1" applyFill="1"/>
    <xf numFmtId="175" fontId="3" fillId="0" borderId="11" xfId="6" applyNumberFormat="1" applyFont="1" applyFill="1" applyBorder="1"/>
    <xf numFmtId="179" fontId="3" fillId="0" borderId="16" xfId="6" applyNumberFormat="1" applyFont="1" applyFill="1" applyBorder="1"/>
    <xf numFmtId="169" fontId="3" fillId="0" borderId="0" xfId="6" applyNumberFormat="1" applyFont="1" applyFill="1" applyBorder="1"/>
    <xf numFmtId="164" fontId="3" fillId="0" borderId="0" xfId="6" applyNumberFormat="1" applyFont="1" applyFill="1" applyBorder="1" applyAlignment="1"/>
    <xf numFmtId="164" fontId="3" fillId="0" borderId="0" xfId="6" applyNumberFormat="1" applyFont="1" applyFill="1" applyBorder="1" applyAlignment="1">
      <alignment horizontal="left"/>
    </xf>
    <xf numFmtId="43" fontId="7" fillId="0" borderId="0" xfId="6" applyFont="1" applyFill="1"/>
    <xf numFmtId="176" fontId="7" fillId="0" borderId="0" xfId="5" applyNumberFormat="1"/>
    <xf numFmtId="164" fontId="7" fillId="0" borderId="0" xfId="5" applyNumberFormat="1"/>
    <xf numFmtId="0" fontId="3" fillId="0" borderId="17" xfId="5" quotePrefix="1" applyFont="1" applyBorder="1" applyAlignment="1">
      <alignment horizontal="center"/>
    </xf>
    <xf numFmtId="0" fontId="3" fillId="0" borderId="0" xfId="7" applyNumberFormat="1" applyFont="1" applyFill="1"/>
    <xf numFmtId="0" fontId="3" fillId="0" borderId="0" xfId="7" applyNumberFormat="1" applyFont="1" applyFill="1" applyAlignment="1">
      <alignment horizontal="center"/>
    </xf>
    <xf numFmtId="0" fontId="3" fillId="0" borderId="0" xfId="7" applyNumberFormat="1" applyFont="1" applyFill="1" applyBorder="1" applyAlignment="1">
      <alignment horizontal="left"/>
    </xf>
    <xf numFmtId="0" fontId="3" fillId="0" borderId="0" xfId="7" applyNumberFormat="1" applyFont="1" applyFill="1" applyBorder="1" applyAlignment="1">
      <alignment horizontal="center"/>
    </xf>
    <xf numFmtId="0" fontId="3" fillId="0" borderId="0" xfId="7" applyNumberFormat="1" applyFont="1" applyFill="1" applyBorder="1"/>
    <xf numFmtId="167" fontId="3" fillId="0" borderId="0" xfId="7" applyNumberFormat="1" applyFont="1" applyFill="1" applyBorder="1"/>
    <xf numFmtId="0" fontId="3" fillId="0" borderId="0" xfId="6" applyNumberFormat="1" applyFont="1" applyFill="1" applyBorder="1"/>
    <xf numFmtId="0" fontId="3" fillId="0" borderId="0" xfId="6" applyNumberFormat="1" applyFont="1" applyFill="1"/>
    <xf numFmtId="0" fontId="3" fillId="0" borderId="0" xfId="6" applyNumberFormat="1" applyFont="1" applyFill="1" applyBorder="1" applyAlignment="1">
      <alignment horizontal="left"/>
    </xf>
    <xf numFmtId="165" fontId="3" fillId="0" borderId="0" xfId="7" applyNumberFormat="1" applyFont="1" applyFill="1" applyAlignment="1">
      <alignment horizontal="left" indent="1"/>
    </xf>
    <xf numFmtId="176" fontId="3" fillId="0" borderId="0" xfId="6" applyNumberFormat="1" applyFont="1" applyFill="1" applyBorder="1"/>
    <xf numFmtId="39" fontId="3" fillId="0" borderId="0" xfId="6" applyNumberFormat="1" applyFont="1" applyFill="1" applyBorder="1"/>
    <xf numFmtId="0" fontId="3" fillId="0" borderId="0" xfId="4" quotePrefix="1" applyFont="1" applyAlignment="1">
      <alignment wrapText="1"/>
    </xf>
    <xf numFmtId="0" fontId="3" fillId="0" borderId="0" xfId="6" applyNumberFormat="1" applyFont="1" applyFill="1" applyBorder="1" applyAlignment="1"/>
    <xf numFmtId="165" fontId="3" fillId="0" borderId="0" xfId="7" applyNumberFormat="1" applyFont="1" applyFill="1" applyAlignment="1">
      <alignment horizontal="left"/>
    </xf>
    <xf numFmtId="0" fontId="3" fillId="0" borderId="1" xfId="4" applyFont="1" applyBorder="1" applyAlignment="1">
      <alignment wrapText="1"/>
    </xf>
    <xf numFmtId="165" fontId="3" fillId="0" borderId="1" xfId="7" applyNumberFormat="1" applyFont="1" applyFill="1" applyBorder="1"/>
    <xf numFmtId="43" fontId="3" fillId="0" borderId="1" xfId="6" applyFont="1" applyFill="1" applyBorder="1"/>
    <xf numFmtId="164" fontId="3" fillId="0" borderId="1" xfId="6" applyNumberFormat="1" applyFont="1" applyFill="1" applyBorder="1"/>
    <xf numFmtId="164" fontId="3" fillId="0" borderId="1" xfId="6" applyNumberFormat="1" applyFont="1" applyFill="1" applyBorder="1" applyAlignment="1">
      <alignment horizontal="right"/>
    </xf>
    <xf numFmtId="9" fontId="3" fillId="0" borderId="0" xfId="6" applyNumberFormat="1" applyFont="1" applyFill="1" applyBorder="1"/>
    <xf numFmtId="9" fontId="3" fillId="0" borderId="1" xfId="6" applyNumberFormat="1" applyFont="1" applyFill="1" applyBorder="1"/>
    <xf numFmtId="9" fontId="3" fillId="0" borderId="1" xfId="8" applyFont="1" applyFill="1" applyBorder="1"/>
    <xf numFmtId="43" fontId="3" fillId="0" borderId="0" xfId="6" applyFont="1" applyFill="1"/>
    <xf numFmtId="0" fontId="3" fillId="0" borderId="2" xfId="4" applyFont="1" applyBorder="1" applyAlignment="1">
      <alignment horizontal="left" wrapText="1"/>
    </xf>
    <xf numFmtId="0" fontId="3" fillId="0" borderId="0" xfId="5" applyFont="1" applyAlignment="1">
      <alignment horizontal="left" indent="1"/>
    </xf>
    <xf numFmtId="165" fontId="3" fillId="0" borderId="0" xfId="7" applyNumberFormat="1" applyFont="1" applyFill="1" applyBorder="1" applyAlignment="1">
      <alignment horizontal="left" indent="1"/>
    </xf>
    <xf numFmtId="176" fontId="3" fillId="0" borderId="0" xfId="6" applyNumberFormat="1" applyFont="1" applyFill="1"/>
    <xf numFmtId="180" fontId="3" fillId="0" borderId="0" xfId="6" applyNumberFormat="1" applyFont="1" applyFill="1" applyBorder="1"/>
    <xf numFmtId="169" fontId="3" fillId="0" borderId="1" xfId="6" applyNumberFormat="1" applyFont="1" applyFill="1" applyBorder="1"/>
    <xf numFmtId="180" fontId="3" fillId="0" borderId="1" xfId="6" applyNumberFormat="1" applyFont="1" applyFill="1" applyBorder="1"/>
    <xf numFmtId="44" fontId="3" fillId="0" borderId="0" xfId="5" applyNumberFormat="1" applyFont="1"/>
    <xf numFmtId="9" fontId="3" fillId="0" borderId="0" xfId="8" applyFont="1" applyFill="1" applyAlignment="1">
      <alignment horizontal="right"/>
    </xf>
    <xf numFmtId="176" fontId="3" fillId="0" borderId="0" xfId="5" applyNumberFormat="1" applyFont="1"/>
    <xf numFmtId="10" fontId="0" fillId="0" borderId="0" xfId="3" applyNumberFormat="1" applyFont="1"/>
    <xf numFmtId="166" fontId="3" fillId="0" borderId="0" xfId="7" applyNumberFormat="1" applyFont="1" applyFill="1" applyBorder="1"/>
    <xf numFmtId="166" fontId="3" fillId="0" borderId="0" xfId="6" applyNumberFormat="1" applyFont="1" applyFill="1" applyBorder="1"/>
    <xf numFmtId="166" fontId="3" fillId="0" borderId="0" xfId="6" applyNumberFormat="1" applyFont="1" applyFill="1"/>
    <xf numFmtId="166" fontId="3" fillId="0" borderId="1" xfId="8" applyNumberFormat="1" applyFont="1" applyFill="1" applyBorder="1"/>
    <xf numFmtId="166" fontId="3" fillId="0" borderId="0" xfId="8" applyNumberFormat="1" applyFont="1" applyFill="1" applyAlignment="1">
      <alignment horizontal="right"/>
    </xf>
    <xf numFmtId="181" fontId="3" fillId="0" borderId="0" xfId="8" applyNumberFormat="1" applyFont="1" applyFill="1"/>
    <xf numFmtId="181" fontId="3" fillId="0" borderId="0" xfId="5" applyNumberFormat="1" applyFont="1"/>
    <xf numFmtId="0" fontId="3" fillId="0" borderId="1" xfId="4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0" xfId="5" applyAlignment="1">
      <alignment horizontal="center"/>
    </xf>
    <xf numFmtId="0" fontId="3" fillId="0" borderId="2" xfId="5" applyFont="1" applyBorder="1" applyAlignment="1">
      <alignment horizontal="center"/>
    </xf>
    <xf numFmtId="0" fontId="3" fillId="0" borderId="0" xfId="5" applyFont="1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1" xfId="5" applyFont="1" applyBorder="1" applyAlignment="1">
      <alignment horizontal="right"/>
    </xf>
    <xf numFmtId="0" fontId="3" fillId="0" borderId="2" xfId="4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4" applyFont="1" applyBorder="1" applyAlignment="1">
      <alignment horizontal="left" wrapText="1"/>
    </xf>
    <xf numFmtId="0" fontId="6" fillId="0" borderId="0" xfId="4" applyFont="1" applyAlignment="1">
      <alignment horizontal="left" wrapText="1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0" fontId="6" fillId="0" borderId="3" xfId="4" applyFont="1" applyBorder="1" applyAlignment="1">
      <alignment horizontal="center" wrapText="1"/>
    </xf>
  </cellXfs>
  <cellStyles count="18">
    <cellStyle name="Comma" xfId="1" builtinId="3"/>
    <cellStyle name="Comma 10" xfId="14" xr:uid="{934E2A85-F232-40A1-ADBA-15441FCF74C2}"/>
    <cellStyle name="Comma 2" xfId="6" xr:uid="{1C931E9E-B4C9-471E-BFC5-EE535E38EA88}"/>
    <cellStyle name="Currency" xfId="2" builtinId="4"/>
    <cellStyle name="Currency 10" xfId="13" xr:uid="{F0441FA4-2198-4A6B-BA05-C83169DFE637}"/>
    <cellStyle name="Currency 2" xfId="7" xr:uid="{E6809F19-9130-44C8-A2F1-FEF0C9DD5C37}"/>
    <cellStyle name="Currency 2 2" xfId="17" xr:uid="{E3D2C264-DE82-4A53-9BAB-CE532BF49688}"/>
    <cellStyle name="Normal" xfId="0" builtinId="0"/>
    <cellStyle name="Normal 10 8" xfId="15" xr:uid="{7517D28C-B44D-4CE2-8845-FB9E24CE465C}"/>
    <cellStyle name="Normal 11" xfId="10" xr:uid="{3E692CD7-84FD-4EED-9B08-465D1B3B4ECB}"/>
    <cellStyle name="Normal 14" xfId="12" xr:uid="{4D9E27BB-B1F2-42AA-8C70-76525662E114}"/>
    <cellStyle name="Normal 2" xfId="5" xr:uid="{E5B690A7-72A4-480C-9D1F-D3AF5736FDB9}"/>
    <cellStyle name="Normal 3" xfId="9" xr:uid="{E355F4C8-DD8D-4B26-A185-F5E61071ACAD}"/>
    <cellStyle name="Normal 3 2" xfId="16" xr:uid="{3CE2B712-9D36-4E40-9E78-6C503542CF3A}"/>
    <cellStyle name="Normal 5" xfId="11" xr:uid="{D2FE99F1-E7CE-403B-94B1-67E9E735981E}"/>
    <cellStyle name="Normal_Sheet1" xfId="4" xr:uid="{51AA7E40-3F26-4C75-B409-AAB7D3A06687}"/>
    <cellStyle name="Percent" xfId="3" builtinId="5"/>
    <cellStyle name="Percent 2" xfId="8" xr:uid="{3D49A41A-CBE1-4554-8DA1-E7E82FCFD1C4}"/>
  </cellStyles>
  <dxfs count="0"/>
  <tableStyles count="1" defaultTableStyle="TableStyleMedium2" defaultPivotStyle="PivotStyleLight16">
    <tableStyle name="Invisible" pivot="0" table="0" count="0" xr9:uid="{D65F196D-04CC-4643-83DF-90076FD74D8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702B-4F38-4B43-8ADC-7100F70081CC}">
  <dimension ref="A1:CV366"/>
  <sheetViews>
    <sheetView workbookViewId="0">
      <selection activeCell="A35" sqref="A35"/>
    </sheetView>
  </sheetViews>
  <sheetFormatPr defaultRowHeight="15" x14ac:dyDescent="0.25"/>
  <cols>
    <col min="1" max="1" width="50.140625" bestFit="1" customWidth="1"/>
    <col min="2" max="2" width="17.85546875" bestFit="1" customWidth="1"/>
    <col min="3" max="3" width="13" bestFit="1" customWidth="1"/>
    <col min="4" max="4" width="39.85546875" customWidth="1"/>
    <col min="5" max="5" width="37.7109375" customWidth="1"/>
    <col min="6" max="6" width="35.7109375" customWidth="1"/>
    <col min="7" max="7" width="30.5703125" customWidth="1"/>
    <col min="8" max="8" width="34.5703125" customWidth="1"/>
    <col min="9" max="9" width="37.28515625" customWidth="1"/>
    <col min="10" max="10" width="43.7109375" customWidth="1"/>
    <col min="11" max="11" width="33.5703125" customWidth="1"/>
    <col min="12" max="12" width="33.140625" customWidth="1"/>
    <col min="13" max="13" width="33.42578125" customWidth="1"/>
    <col min="14" max="14" width="39.85546875" customWidth="1"/>
    <col min="15" max="15" width="34.140625" customWidth="1"/>
    <col min="16" max="16" width="39.42578125" customWidth="1"/>
    <col min="17" max="17" width="30" customWidth="1"/>
    <col min="18" max="18" width="33" customWidth="1"/>
    <col min="19" max="19" width="31.42578125" customWidth="1"/>
    <col min="20" max="20" width="35.5703125" customWidth="1"/>
    <col min="21" max="21" width="35.140625" customWidth="1"/>
    <col min="22" max="22" width="29.5703125" customWidth="1"/>
    <col min="23" max="23" width="33.85546875" customWidth="1"/>
    <col min="24" max="24" width="39.85546875" customWidth="1"/>
    <col min="25" max="25" width="40" customWidth="1"/>
    <col min="26" max="26" width="37.85546875" customWidth="1"/>
    <col min="27" max="27" width="35.85546875" customWidth="1"/>
    <col min="28" max="28" width="30.140625" customWidth="1"/>
    <col min="29" max="29" width="33.140625" customWidth="1"/>
    <col min="30" max="30" width="37.42578125" customWidth="1"/>
    <col min="31" max="31" width="37.7109375" customWidth="1"/>
    <col min="32" max="32" width="35.28515625" customWidth="1"/>
    <col min="33" max="33" width="33.42578125" customWidth="1"/>
    <col min="34" max="34" width="33.5703125" customWidth="1"/>
    <col min="35" max="35" width="31" customWidth="1"/>
    <col min="36" max="36" width="31.7109375" customWidth="1"/>
    <col min="37" max="37" width="40.28515625" customWidth="1"/>
    <col min="38" max="38" width="31.5703125" customWidth="1"/>
    <col min="39" max="39" width="33" customWidth="1"/>
    <col min="40" max="40" width="40.28515625" customWidth="1"/>
    <col min="41" max="41" width="41.28515625" customWidth="1"/>
    <col min="42" max="42" width="19.42578125" customWidth="1"/>
    <col min="43" max="43" width="35" customWidth="1"/>
    <col min="44" max="44" width="30.7109375" customWidth="1"/>
    <col min="45" max="45" width="30.5703125" customWidth="1"/>
    <col min="46" max="46" width="31.28515625" customWidth="1"/>
    <col min="47" max="47" width="17.85546875" customWidth="1"/>
    <col min="48" max="48" width="22.28515625" customWidth="1"/>
    <col min="49" max="49" width="22.140625" customWidth="1"/>
    <col min="50" max="50" width="23.42578125" customWidth="1"/>
    <col min="51" max="51" width="27.85546875" customWidth="1"/>
    <col min="52" max="52" width="27.7109375" customWidth="1"/>
    <col min="53" max="53" width="28.42578125" customWidth="1"/>
    <col min="54" max="54" width="29.42578125" customWidth="1"/>
    <col min="55" max="55" width="31.5703125" customWidth="1"/>
    <col min="56" max="56" width="31.42578125" customWidth="1"/>
    <col min="57" max="57" width="32.28515625" customWidth="1"/>
    <col min="58" max="58" width="29.5703125" customWidth="1"/>
    <col min="59" max="59" width="31.7109375" customWidth="1"/>
    <col min="60" max="60" width="31.5703125" customWidth="1"/>
    <col min="61" max="61" width="32.42578125" customWidth="1"/>
    <col min="62" max="62" width="27.28515625" customWidth="1"/>
    <col min="63" max="63" width="31.7109375" customWidth="1"/>
    <col min="64" max="64" width="31.5703125" customWidth="1"/>
    <col min="65" max="65" width="32.42578125" customWidth="1"/>
    <col min="66" max="66" width="25.5703125" customWidth="1"/>
    <col min="67" max="67" width="30" customWidth="1"/>
    <col min="68" max="68" width="29.85546875" customWidth="1"/>
    <col min="69" max="69" width="30.5703125" customWidth="1"/>
    <col min="70" max="70" width="27.140625" customWidth="1"/>
    <col min="71" max="71" width="31.42578125" customWidth="1"/>
    <col min="72" max="72" width="32.28515625" customWidth="1"/>
    <col min="73" max="73" width="28.5703125" customWidth="1"/>
    <col min="74" max="74" width="33" customWidth="1"/>
    <col min="75" max="75" width="32.85546875" customWidth="1"/>
    <col min="76" max="76" width="33.5703125" customWidth="1"/>
    <col min="77" max="77" width="41.5703125" customWidth="1"/>
    <col min="78" max="78" width="42.28515625" customWidth="1"/>
    <col min="79" max="79" width="6.42578125" customWidth="1"/>
    <col min="80" max="80" width="42" customWidth="1"/>
    <col min="81" max="81" width="37.7109375" customWidth="1"/>
    <col min="82" max="82" width="37.42578125" customWidth="1"/>
    <col min="83" max="83" width="38.140625" customWidth="1"/>
    <col min="84" max="84" width="38" customWidth="1"/>
    <col min="85" max="85" width="34.5703125" customWidth="1"/>
    <col min="86" max="86" width="34.42578125" customWidth="1"/>
    <col min="87" max="87" width="35.140625" customWidth="1"/>
    <col min="88" max="88" width="35.28515625" customWidth="1"/>
    <col min="89" max="89" width="39.5703125" customWidth="1"/>
    <col min="90" max="90" width="40.28515625" customWidth="1"/>
    <col min="91" max="91" width="35.28515625" customWidth="1"/>
    <col min="92" max="92" width="39.85546875" customWidth="1"/>
    <col min="93" max="93" width="39.5703125" customWidth="1"/>
    <col min="94" max="94" width="40.28515625" customWidth="1"/>
    <col min="95" max="95" width="34.28515625" customWidth="1"/>
    <col min="96" max="96" width="38.7109375" customWidth="1"/>
    <col min="97" max="97" width="38.5703125" customWidth="1"/>
    <col min="98" max="98" width="39.28515625" customWidth="1"/>
    <col min="99" max="99" width="48.42578125" customWidth="1"/>
    <col min="100" max="100" width="49.140625" customWidth="1"/>
    <col min="101" max="101" width="10.5703125" customWidth="1"/>
  </cols>
  <sheetData>
    <row r="1" spans="1:2" ht="18.75" x14ac:dyDescent="0.25">
      <c r="A1" s="87" t="s">
        <v>1513</v>
      </c>
      <c r="B1" s="87"/>
    </row>
    <row r="2" spans="1:2" x14ac:dyDescent="0.25">
      <c r="A2" s="1"/>
      <c r="B2" s="2">
        <v>2025</v>
      </c>
    </row>
    <row r="3" spans="1:2" x14ac:dyDescent="0.25">
      <c r="A3" t="s">
        <v>0</v>
      </c>
      <c r="B3" s="3">
        <v>279108556</v>
      </c>
    </row>
    <row r="4" spans="1:2" x14ac:dyDescent="0.25">
      <c r="A4" t="s">
        <v>1</v>
      </c>
      <c r="B4" s="3">
        <v>1616968</v>
      </c>
    </row>
    <row r="5" spans="1:2" x14ac:dyDescent="0.25">
      <c r="A5" t="s">
        <v>2</v>
      </c>
      <c r="B5" s="3">
        <v>10209657234</v>
      </c>
    </row>
    <row r="6" spans="1:2" x14ac:dyDescent="0.25">
      <c r="A6" t="s">
        <v>3</v>
      </c>
      <c r="B6" s="3">
        <v>7076568254.1000004</v>
      </c>
    </row>
    <row r="7" spans="1:2" x14ac:dyDescent="0.25">
      <c r="A7" t="s">
        <v>4</v>
      </c>
      <c r="B7" s="3">
        <v>3133088980.2800002</v>
      </c>
    </row>
    <row r="8" spans="1:2" x14ac:dyDescent="0.25">
      <c r="A8" t="s">
        <v>5</v>
      </c>
      <c r="B8" s="3">
        <v>80411220</v>
      </c>
    </row>
    <row r="9" spans="1:2" x14ac:dyDescent="0.25">
      <c r="A9" s="1"/>
      <c r="B9" s="2">
        <v>2025</v>
      </c>
    </row>
    <row r="10" spans="1:2" x14ac:dyDescent="0.25">
      <c r="A10" t="s">
        <v>6</v>
      </c>
      <c r="B10" s="3">
        <v>9365.11</v>
      </c>
    </row>
    <row r="11" spans="1:2" x14ac:dyDescent="0.25">
      <c r="A11" t="s">
        <v>7</v>
      </c>
      <c r="B11" s="3">
        <v>2916930</v>
      </c>
    </row>
    <row r="12" spans="1:2" x14ac:dyDescent="0.25">
      <c r="A12" t="s">
        <v>8</v>
      </c>
      <c r="B12" s="3">
        <v>9501.06</v>
      </c>
    </row>
    <row r="13" spans="1:2" x14ac:dyDescent="0.25">
      <c r="A13" s="1"/>
      <c r="B13" s="2">
        <v>2025</v>
      </c>
    </row>
    <row r="14" spans="1:2" x14ac:dyDescent="0.25">
      <c r="A14" t="s">
        <v>9</v>
      </c>
      <c r="B14" s="3">
        <v>1477390</v>
      </c>
    </row>
    <row r="15" spans="1:2" x14ac:dyDescent="0.25">
      <c r="A15" t="s">
        <v>10</v>
      </c>
      <c r="B15" s="3">
        <v>12769320</v>
      </c>
    </row>
    <row r="16" spans="1:2" x14ac:dyDescent="0.25">
      <c r="A16" s="1"/>
      <c r="B16" s="2">
        <v>2025</v>
      </c>
    </row>
    <row r="17" spans="1:2" x14ac:dyDescent="0.25">
      <c r="A17" t="s">
        <v>11</v>
      </c>
      <c r="B17" s="3">
        <v>24905825</v>
      </c>
    </row>
    <row r="18" spans="1:2" x14ac:dyDescent="0.25">
      <c r="A18" t="s">
        <v>12</v>
      </c>
      <c r="B18" s="3">
        <v>35156</v>
      </c>
    </row>
    <row r="19" spans="1:2" x14ac:dyDescent="0.25">
      <c r="A19" t="s">
        <v>13</v>
      </c>
      <c r="B19" s="3">
        <v>830344</v>
      </c>
    </row>
    <row r="20" spans="1:2" x14ac:dyDescent="0.25">
      <c r="A20" t="s">
        <v>14</v>
      </c>
      <c r="B20" s="3">
        <v>910365971</v>
      </c>
    </row>
    <row r="21" spans="1:2" x14ac:dyDescent="0.25">
      <c r="A21" t="s">
        <v>15</v>
      </c>
      <c r="B21" s="3">
        <v>1036577</v>
      </c>
    </row>
    <row r="22" spans="1:2" x14ac:dyDescent="0.25">
      <c r="A22" t="s">
        <v>16</v>
      </c>
      <c r="B22" s="3">
        <v>26764032</v>
      </c>
    </row>
    <row r="23" spans="1:2" x14ac:dyDescent="0.25">
      <c r="A23" t="s">
        <v>17</v>
      </c>
      <c r="B23" s="3">
        <v>6385234</v>
      </c>
    </row>
    <row r="24" spans="1:2" x14ac:dyDescent="0.25">
      <c r="A24" t="s">
        <v>18</v>
      </c>
      <c r="B24" s="3">
        <v>11254304</v>
      </c>
    </row>
    <row r="25" spans="1:2" x14ac:dyDescent="0.25">
      <c r="A25" t="s">
        <v>890</v>
      </c>
      <c r="B25" s="3">
        <v>9124494.0999999996</v>
      </c>
    </row>
    <row r="26" spans="1:2" x14ac:dyDescent="0.25">
      <c r="A26" t="s">
        <v>19</v>
      </c>
      <c r="B26" s="3">
        <v>278292.17</v>
      </c>
    </row>
    <row r="27" spans="1:2" x14ac:dyDescent="0.25">
      <c r="A27" t="s">
        <v>20</v>
      </c>
      <c r="B27" s="3">
        <v>0</v>
      </c>
    </row>
    <row r="28" spans="1:2" x14ac:dyDescent="0.25">
      <c r="A28" s="1"/>
      <c r="B28" s="2">
        <v>2025</v>
      </c>
    </row>
    <row r="29" spans="1:2" x14ac:dyDescent="0.25">
      <c r="A29" t="s">
        <v>21</v>
      </c>
      <c r="B29" s="3">
        <v>5518651</v>
      </c>
    </row>
    <row r="30" spans="1:2" x14ac:dyDescent="0.25">
      <c r="A30" t="s">
        <v>22</v>
      </c>
      <c r="B30" s="3">
        <v>5498214.3099999996</v>
      </c>
    </row>
    <row r="31" spans="1:2" x14ac:dyDescent="0.25">
      <c r="A31" t="s">
        <v>23</v>
      </c>
      <c r="B31" s="3">
        <v>20436.89</v>
      </c>
    </row>
    <row r="32" spans="1:2" x14ac:dyDescent="0.25">
      <c r="A32" t="s">
        <v>24</v>
      </c>
      <c r="B32" s="3">
        <v>0</v>
      </c>
    </row>
    <row r="33" spans="1:2" x14ac:dyDescent="0.25">
      <c r="A33" t="s">
        <v>25</v>
      </c>
      <c r="B33" s="3">
        <v>4597287893</v>
      </c>
    </row>
    <row r="34" spans="1:2" x14ac:dyDescent="0.25">
      <c r="A34" t="s">
        <v>26</v>
      </c>
      <c r="B34" s="3">
        <v>4524224832</v>
      </c>
    </row>
    <row r="35" spans="1:2" x14ac:dyDescent="0.25">
      <c r="A35" t="s">
        <v>27</v>
      </c>
      <c r="B35" s="3">
        <v>73063062</v>
      </c>
    </row>
    <row r="36" spans="1:2" x14ac:dyDescent="0.25">
      <c r="A36" t="s">
        <v>28</v>
      </c>
      <c r="B36" s="3">
        <v>0</v>
      </c>
    </row>
    <row r="37" spans="1:2" x14ac:dyDescent="0.25">
      <c r="A37" t="s">
        <v>29</v>
      </c>
      <c r="B37" s="3">
        <v>12121164</v>
      </c>
    </row>
    <row r="38" spans="1:2" x14ac:dyDescent="0.25">
      <c r="A38" t="s">
        <v>30</v>
      </c>
      <c r="B38" s="3">
        <v>11934861</v>
      </c>
    </row>
    <row r="39" spans="1:2" x14ac:dyDescent="0.25">
      <c r="A39" s="4" t="s">
        <v>31</v>
      </c>
      <c r="B39" s="3">
        <v>186303</v>
      </c>
    </row>
    <row r="40" spans="1:2" x14ac:dyDescent="0.25">
      <c r="A40" t="s">
        <v>32</v>
      </c>
      <c r="B40" s="3">
        <v>0</v>
      </c>
    </row>
    <row r="41" spans="1:2" x14ac:dyDescent="0.25">
      <c r="A41" t="s">
        <v>33</v>
      </c>
      <c r="B41" s="3">
        <v>128245</v>
      </c>
    </row>
    <row r="42" spans="1:2" x14ac:dyDescent="0.25">
      <c r="A42" t="s">
        <v>34</v>
      </c>
      <c r="B42" s="3">
        <v>128245</v>
      </c>
    </row>
    <row r="43" spans="1:2" x14ac:dyDescent="0.25">
      <c r="A43" t="s">
        <v>35</v>
      </c>
      <c r="B43" s="3">
        <v>0</v>
      </c>
    </row>
    <row r="44" spans="1:2" x14ac:dyDescent="0.25">
      <c r="A44" t="s">
        <v>36</v>
      </c>
      <c r="B44" s="3">
        <v>655328</v>
      </c>
    </row>
    <row r="45" spans="1:2" x14ac:dyDescent="0.25">
      <c r="A45" t="s">
        <v>37</v>
      </c>
      <c r="B45" s="3">
        <v>631383</v>
      </c>
    </row>
    <row r="46" spans="1:2" x14ac:dyDescent="0.25">
      <c r="A46" t="s">
        <v>38</v>
      </c>
      <c r="B46" s="3">
        <v>23944</v>
      </c>
    </row>
    <row r="47" spans="1:2" x14ac:dyDescent="0.25">
      <c r="A47" t="s">
        <v>39</v>
      </c>
      <c r="B47" s="3">
        <v>0</v>
      </c>
    </row>
    <row r="48" spans="1:2" x14ac:dyDescent="0.25">
      <c r="A48" t="s">
        <v>40</v>
      </c>
      <c r="B48" s="3">
        <v>-3136688</v>
      </c>
    </row>
    <row r="49" spans="1:2" x14ac:dyDescent="0.25">
      <c r="A49" t="s">
        <v>41</v>
      </c>
      <c r="B49" s="3">
        <v>0</v>
      </c>
    </row>
    <row r="50" spans="1:2" x14ac:dyDescent="0.25">
      <c r="A50" s="1"/>
      <c r="B50" s="2">
        <v>2025</v>
      </c>
    </row>
    <row r="51" spans="1:2" x14ac:dyDescent="0.25">
      <c r="A51" t="s">
        <v>42</v>
      </c>
      <c r="B51" s="3">
        <v>561526</v>
      </c>
    </row>
    <row r="52" spans="1:2" x14ac:dyDescent="0.25">
      <c r="A52" t="s">
        <v>43</v>
      </c>
      <c r="B52" s="3">
        <v>547000.02</v>
      </c>
    </row>
    <row r="53" spans="1:2" x14ac:dyDescent="0.25">
      <c r="A53" s="4" t="s">
        <v>44</v>
      </c>
      <c r="B53" s="3">
        <v>14149.85</v>
      </c>
    </row>
    <row r="54" spans="1:2" x14ac:dyDescent="0.25">
      <c r="A54" t="s">
        <v>45</v>
      </c>
      <c r="B54" s="3">
        <v>753.01</v>
      </c>
    </row>
    <row r="55" spans="1:2" x14ac:dyDescent="0.25">
      <c r="A55" t="s">
        <v>46</v>
      </c>
      <c r="B55" s="3">
        <v>240</v>
      </c>
    </row>
    <row r="56" spans="1:2" x14ac:dyDescent="0.25">
      <c r="A56" t="s">
        <v>47</v>
      </c>
      <c r="B56" s="3">
        <v>0</v>
      </c>
    </row>
    <row r="57" spans="1:2" x14ac:dyDescent="0.25">
      <c r="A57" t="s">
        <v>48</v>
      </c>
      <c r="B57" s="3">
        <v>240</v>
      </c>
    </row>
    <row r="58" spans="1:2" x14ac:dyDescent="0.25">
      <c r="A58" t="s">
        <v>49</v>
      </c>
      <c r="B58" s="3">
        <v>2132093261</v>
      </c>
    </row>
    <row r="59" spans="1:2" x14ac:dyDescent="0.25">
      <c r="A59" t="s">
        <v>50</v>
      </c>
      <c r="B59" s="3">
        <v>1908997404</v>
      </c>
    </row>
    <row r="60" spans="1:2" x14ac:dyDescent="0.25">
      <c r="A60" t="s">
        <v>51</v>
      </c>
      <c r="B60" s="3">
        <v>221476494</v>
      </c>
    </row>
    <row r="61" spans="1:2" x14ac:dyDescent="0.25">
      <c r="A61" t="s">
        <v>52</v>
      </c>
      <c r="B61" s="3">
        <v>1619362</v>
      </c>
    </row>
    <row r="62" spans="1:2" x14ac:dyDescent="0.25">
      <c r="A62" t="s">
        <v>53</v>
      </c>
      <c r="B62" s="3">
        <v>514712538</v>
      </c>
    </row>
    <row r="63" spans="1:2" x14ac:dyDescent="0.25">
      <c r="A63" t="s">
        <v>54</v>
      </c>
      <c r="B63" s="3">
        <v>461128885</v>
      </c>
    </row>
    <row r="64" spans="1:2" x14ac:dyDescent="0.25">
      <c r="A64" t="s">
        <v>55</v>
      </c>
      <c r="B64" s="3">
        <v>53192843</v>
      </c>
    </row>
    <row r="65" spans="1:2" x14ac:dyDescent="0.25">
      <c r="A65" t="s">
        <v>56</v>
      </c>
      <c r="B65" s="3">
        <v>390809</v>
      </c>
    </row>
    <row r="66" spans="1:2" x14ac:dyDescent="0.25">
      <c r="A66" t="s">
        <v>57</v>
      </c>
      <c r="B66" s="3">
        <v>863577390</v>
      </c>
    </row>
    <row r="67" spans="1:2" x14ac:dyDescent="0.25">
      <c r="A67" t="s">
        <v>58</v>
      </c>
      <c r="B67" s="3">
        <v>773068763</v>
      </c>
    </row>
    <row r="68" spans="1:2" x14ac:dyDescent="0.25">
      <c r="A68" t="s">
        <v>59</v>
      </c>
      <c r="B68" s="3">
        <v>89852657</v>
      </c>
    </row>
    <row r="69" spans="1:2" x14ac:dyDescent="0.25">
      <c r="A69" t="s">
        <v>60</v>
      </c>
      <c r="B69" s="3">
        <v>655969</v>
      </c>
    </row>
    <row r="70" spans="1:2" x14ac:dyDescent="0.25">
      <c r="A70" t="s">
        <v>891</v>
      </c>
      <c r="B70" s="3">
        <v>753803334</v>
      </c>
    </row>
    <row r="71" spans="1:2" x14ac:dyDescent="0.25">
      <c r="A71" t="s">
        <v>892</v>
      </c>
      <c r="B71" s="3">
        <v>674799755</v>
      </c>
    </row>
    <row r="72" spans="1:2" x14ac:dyDescent="0.25">
      <c r="A72" t="s">
        <v>893</v>
      </c>
      <c r="B72" s="3">
        <v>78430994</v>
      </c>
    </row>
    <row r="73" spans="1:2" x14ac:dyDescent="0.25">
      <c r="A73" t="s">
        <v>894</v>
      </c>
      <c r="B73" s="7">
        <v>572587</v>
      </c>
    </row>
    <row r="74" spans="1:2" x14ac:dyDescent="0.25">
      <c r="A74" t="s">
        <v>61</v>
      </c>
      <c r="B74" s="3">
        <v>3998580</v>
      </c>
    </row>
    <row r="75" spans="1:2" x14ac:dyDescent="0.25">
      <c r="A75" t="s">
        <v>62</v>
      </c>
      <c r="B75" s="3">
        <v>3559503</v>
      </c>
    </row>
    <row r="76" spans="1:2" x14ac:dyDescent="0.25">
      <c r="A76" t="s">
        <v>63</v>
      </c>
      <c r="B76" s="3">
        <v>434239</v>
      </c>
    </row>
    <row r="77" spans="1:2" x14ac:dyDescent="0.25">
      <c r="A77" t="s">
        <v>64</v>
      </c>
      <c r="B77" s="3">
        <v>4837</v>
      </c>
    </row>
    <row r="78" spans="1:2" x14ac:dyDescent="0.25">
      <c r="A78" t="s">
        <v>65</v>
      </c>
      <c r="B78" s="3">
        <v>3858279</v>
      </c>
    </row>
    <row r="79" spans="1:2" x14ac:dyDescent="0.25">
      <c r="A79" t="s">
        <v>66</v>
      </c>
      <c r="B79" s="3">
        <v>3433354</v>
      </c>
    </row>
    <row r="80" spans="1:2" x14ac:dyDescent="0.25">
      <c r="A80" t="s">
        <v>67</v>
      </c>
      <c r="B80" s="3">
        <v>420406</v>
      </c>
    </row>
    <row r="81" spans="1:2" x14ac:dyDescent="0.25">
      <c r="A81" t="s">
        <v>68</v>
      </c>
      <c r="B81" s="3">
        <v>4519</v>
      </c>
    </row>
    <row r="82" spans="1:2" x14ac:dyDescent="0.25">
      <c r="A82" t="s">
        <v>69</v>
      </c>
      <c r="B82" s="3">
        <v>71224</v>
      </c>
    </row>
    <row r="83" spans="1:2" x14ac:dyDescent="0.25">
      <c r="A83" t="s">
        <v>70</v>
      </c>
      <c r="B83" s="3">
        <v>68661</v>
      </c>
    </row>
    <row r="84" spans="1:2" x14ac:dyDescent="0.25">
      <c r="A84" t="s">
        <v>71</v>
      </c>
      <c r="B84" s="3">
        <v>2562</v>
      </c>
    </row>
    <row r="85" spans="1:2" x14ac:dyDescent="0.25">
      <c r="A85" t="s">
        <v>72</v>
      </c>
      <c r="B85" s="3">
        <v>759513</v>
      </c>
    </row>
    <row r="86" spans="1:2" x14ac:dyDescent="0.25">
      <c r="A86" t="s">
        <v>73</v>
      </c>
      <c r="B86" s="3">
        <v>713288</v>
      </c>
    </row>
    <row r="87" spans="1:2" x14ac:dyDescent="0.25">
      <c r="A87" t="s">
        <v>74</v>
      </c>
      <c r="B87" s="3">
        <v>46225</v>
      </c>
    </row>
    <row r="88" spans="1:2" x14ac:dyDescent="0.25">
      <c r="A88" t="s">
        <v>75</v>
      </c>
      <c r="B88" s="3">
        <v>0</v>
      </c>
    </row>
    <row r="89" spans="1:2" x14ac:dyDescent="0.25">
      <c r="A89" t="s">
        <v>76</v>
      </c>
      <c r="B89" s="3">
        <v>-7501540</v>
      </c>
    </row>
    <row r="90" spans="1:2" x14ac:dyDescent="0.25">
      <c r="A90" t="s">
        <v>77</v>
      </c>
      <c r="B90" s="3">
        <v>-70573</v>
      </c>
    </row>
    <row r="91" spans="1:2" x14ac:dyDescent="0.25">
      <c r="A91" s="1"/>
      <c r="B91" s="2">
        <v>2025</v>
      </c>
    </row>
    <row r="92" spans="1:2" x14ac:dyDescent="0.25">
      <c r="A92" t="s">
        <v>78</v>
      </c>
      <c r="B92" s="3">
        <v>616892</v>
      </c>
    </row>
    <row r="93" spans="1:2" x14ac:dyDescent="0.25">
      <c r="A93" t="s">
        <v>79</v>
      </c>
      <c r="B93" s="3">
        <v>609685.46</v>
      </c>
    </row>
    <row r="94" spans="1:2" x14ac:dyDescent="0.25">
      <c r="A94" t="s">
        <v>80</v>
      </c>
      <c r="B94" s="3">
        <v>7206.29</v>
      </c>
    </row>
    <row r="95" spans="1:2" x14ac:dyDescent="0.25">
      <c r="A95" t="s">
        <v>81</v>
      </c>
      <c r="B95" s="3">
        <v>0</v>
      </c>
    </row>
    <row r="96" spans="1:2" x14ac:dyDescent="0.25">
      <c r="A96" t="s">
        <v>82</v>
      </c>
      <c r="B96" s="3">
        <v>359938587</v>
      </c>
    </row>
    <row r="97" spans="1:2" x14ac:dyDescent="0.25">
      <c r="A97" t="s">
        <v>83</v>
      </c>
      <c r="B97" s="3">
        <v>353684044</v>
      </c>
    </row>
    <row r="98" spans="1:2" x14ac:dyDescent="0.25">
      <c r="A98" t="s">
        <v>84</v>
      </c>
      <c r="B98" s="3">
        <v>6254543</v>
      </c>
    </row>
    <row r="99" spans="1:2" x14ac:dyDescent="0.25">
      <c r="A99" t="s">
        <v>85</v>
      </c>
      <c r="B99" s="3">
        <v>0</v>
      </c>
    </row>
    <row r="100" spans="1:2" x14ac:dyDescent="0.25">
      <c r="A100" t="s">
        <v>86</v>
      </c>
      <c r="B100" s="3">
        <v>2471303</v>
      </c>
    </row>
    <row r="101" spans="1:2" x14ac:dyDescent="0.25">
      <c r="A101" t="s">
        <v>87</v>
      </c>
      <c r="B101" s="3">
        <v>2471303</v>
      </c>
    </row>
    <row r="102" spans="1:2" x14ac:dyDescent="0.25">
      <c r="A102" t="s">
        <v>88</v>
      </c>
      <c r="B102" s="3">
        <v>0</v>
      </c>
    </row>
    <row r="103" spans="1:2" x14ac:dyDescent="0.25">
      <c r="A103" t="s">
        <v>89</v>
      </c>
      <c r="B103" s="3">
        <v>16331549</v>
      </c>
    </row>
    <row r="104" spans="1:2" x14ac:dyDescent="0.25">
      <c r="A104" t="s">
        <v>90</v>
      </c>
      <c r="B104" s="3">
        <v>16331549</v>
      </c>
    </row>
    <row r="105" spans="1:2" x14ac:dyDescent="0.25">
      <c r="A105" t="s">
        <v>91</v>
      </c>
      <c r="B105" s="3">
        <v>0</v>
      </c>
    </row>
    <row r="106" spans="1:2" x14ac:dyDescent="0.25">
      <c r="A106" t="s">
        <v>92</v>
      </c>
      <c r="B106" s="3">
        <v>0</v>
      </c>
    </row>
    <row r="107" spans="1:2" x14ac:dyDescent="0.25">
      <c r="A107" t="s">
        <v>93</v>
      </c>
      <c r="B107" s="3">
        <v>2046453</v>
      </c>
    </row>
    <row r="108" spans="1:2" x14ac:dyDescent="0.25">
      <c r="A108" s="5" t="s">
        <v>94</v>
      </c>
      <c r="B108" s="3">
        <v>1992622</v>
      </c>
    </row>
    <row r="109" spans="1:2" x14ac:dyDescent="0.25">
      <c r="A109" t="s">
        <v>95</v>
      </c>
      <c r="B109" s="3">
        <v>53831</v>
      </c>
    </row>
    <row r="110" spans="1:2" x14ac:dyDescent="0.25">
      <c r="A110" t="s">
        <v>96</v>
      </c>
      <c r="B110" s="3">
        <v>0</v>
      </c>
    </row>
    <row r="111" spans="1:2" x14ac:dyDescent="0.25">
      <c r="A111" t="s">
        <v>97</v>
      </c>
      <c r="B111" s="3">
        <v>-441971</v>
      </c>
    </row>
    <row r="112" spans="1:2" x14ac:dyDescent="0.25">
      <c r="A112" t="s">
        <v>98</v>
      </c>
      <c r="B112" s="3">
        <v>0</v>
      </c>
    </row>
    <row r="113" spans="1:2" x14ac:dyDescent="0.25">
      <c r="A113" s="1"/>
      <c r="B113" s="2">
        <v>2025</v>
      </c>
    </row>
    <row r="114" spans="1:2" x14ac:dyDescent="0.25">
      <c r="A114" t="s">
        <v>99</v>
      </c>
      <c r="B114" s="3">
        <v>0</v>
      </c>
    </row>
    <row r="115" spans="1:2" x14ac:dyDescent="0.25">
      <c r="A115" t="s">
        <v>100</v>
      </c>
      <c r="B115" s="3">
        <v>0</v>
      </c>
    </row>
    <row r="116" spans="1:2" x14ac:dyDescent="0.25">
      <c r="A116" t="s">
        <v>101</v>
      </c>
      <c r="B116" s="3">
        <v>0</v>
      </c>
    </row>
    <row r="117" spans="1:2" x14ac:dyDescent="0.25">
      <c r="A117" t="s">
        <v>102</v>
      </c>
      <c r="B117" s="3">
        <v>0</v>
      </c>
    </row>
    <row r="118" spans="1:2" x14ac:dyDescent="0.25">
      <c r="A118" t="s">
        <v>103</v>
      </c>
      <c r="B118" s="3">
        <v>0</v>
      </c>
    </row>
    <row r="119" spans="1:2" x14ac:dyDescent="0.25">
      <c r="A119" t="s">
        <v>104</v>
      </c>
      <c r="B119" s="3">
        <v>0</v>
      </c>
    </row>
    <row r="120" spans="1:2" x14ac:dyDescent="0.25">
      <c r="A120" t="s">
        <v>105</v>
      </c>
      <c r="B120" s="3">
        <v>0</v>
      </c>
    </row>
    <row r="121" spans="1:2" x14ac:dyDescent="0.25">
      <c r="A121" t="s">
        <v>106</v>
      </c>
      <c r="B121" s="3">
        <v>0</v>
      </c>
    </row>
    <row r="122" spans="1:2" x14ac:dyDescent="0.25">
      <c r="A122" t="s">
        <v>107</v>
      </c>
      <c r="B122" s="3">
        <v>0</v>
      </c>
    </row>
    <row r="123" spans="1:2" x14ac:dyDescent="0.25">
      <c r="A123" t="s">
        <v>108</v>
      </c>
      <c r="B123" s="3">
        <v>0</v>
      </c>
    </row>
    <row r="124" spans="1:2" x14ac:dyDescent="0.25">
      <c r="A124" t="s">
        <v>109</v>
      </c>
      <c r="B124" s="3">
        <v>0</v>
      </c>
    </row>
    <row r="125" spans="1:2" x14ac:dyDescent="0.25">
      <c r="A125" s="1"/>
      <c r="B125" s="2">
        <v>2025</v>
      </c>
    </row>
    <row r="126" spans="1:2" x14ac:dyDescent="0.25">
      <c r="A126" t="s">
        <v>110</v>
      </c>
      <c r="B126" s="3">
        <v>0</v>
      </c>
    </row>
    <row r="127" spans="1:2" x14ac:dyDescent="0.25">
      <c r="A127" t="s">
        <v>111</v>
      </c>
      <c r="B127" s="3">
        <v>0</v>
      </c>
    </row>
    <row r="128" spans="1:2" x14ac:dyDescent="0.25">
      <c r="A128" t="s">
        <v>112</v>
      </c>
      <c r="B128" s="3">
        <v>0</v>
      </c>
    </row>
    <row r="129" spans="1:2" x14ac:dyDescent="0.25">
      <c r="A129" t="s">
        <v>113</v>
      </c>
      <c r="B129" s="3">
        <v>0</v>
      </c>
    </row>
    <row r="130" spans="1:2" x14ac:dyDescent="0.25">
      <c r="A130" t="s">
        <v>114</v>
      </c>
      <c r="B130" s="3">
        <v>0</v>
      </c>
    </row>
    <row r="131" spans="1:2" x14ac:dyDescent="0.25">
      <c r="A131" t="s">
        <v>115</v>
      </c>
      <c r="B131" s="3">
        <v>0</v>
      </c>
    </row>
    <row r="132" spans="1:2" x14ac:dyDescent="0.25">
      <c r="A132" t="s">
        <v>116</v>
      </c>
      <c r="B132" s="3">
        <v>0</v>
      </c>
    </row>
    <row r="133" spans="1:2" x14ac:dyDescent="0.25">
      <c r="A133" t="s">
        <v>117</v>
      </c>
      <c r="B133" s="3">
        <v>0</v>
      </c>
    </row>
    <row r="134" spans="1:2" x14ac:dyDescent="0.25">
      <c r="A134" t="s">
        <v>118</v>
      </c>
      <c r="B134" s="3">
        <v>0</v>
      </c>
    </row>
    <row r="135" spans="1:2" x14ac:dyDescent="0.25">
      <c r="A135" t="s">
        <v>119</v>
      </c>
      <c r="B135" s="3">
        <v>0</v>
      </c>
    </row>
    <row r="136" spans="1:2" x14ac:dyDescent="0.25">
      <c r="A136" t="s">
        <v>120</v>
      </c>
      <c r="B136" s="3">
        <v>0</v>
      </c>
    </row>
    <row r="137" spans="1:2" x14ac:dyDescent="0.25">
      <c r="A137" s="1"/>
      <c r="B137" s="2">
        <v>2025</v>
      </c>
    </row>
    <row r="138" spans="1:2" x14ac:dyDescent="0.25">
      <c r="A138" t="s">
        <v>121</v>
      </c>
      <c r="B138" s="3">
        <v>0</v>
      </c>
    </row>
    <row r="139" spans="1:2" x14ac:dyDescent="0.25">
      <c r="A139" t="s">
        <v>122</v>
      </c>
      <c r="B139" s="3">
        <v>0</v>
      </c>
    </row>
    <row r="140" spans="1:2" x14ac:dyDescent="0.25">
      <c r="A140" t="s">
        <v>123</v>
      </c>
      <c r="B140" s="3">
        <v>0</v>
      </c>
    </row>
    <row r="141" spans="1:2" x14ac:dyDescent="0.25">
      <c r="A141" t="s">
        <v>124</v>
      </c>
      <c r="B141" s="3">
        <v>0</v>
      </c>
    </row>
    <row r="142" spans="1:2" x14ac:dyDescent="0.25">
      <c r="A142" t="s">
        <v>125</v>
      </c>
      <c r="B142" s="3">
        <v>0</v>
      </c>
    </row>
    <row r="143" spans="1:2" x14ac:dyDescent="0.25">
      <c r="A143" t="s">
        <v>126</v>
      </c>
      <c r="B143" s="3">
        <v>0</v>
      </c>
    </row>
    <row r="144" spans="1:2" x14ac:dyDescent="0.25">
      <c r="A144" t="s">
        <v>127</v>
      </c>
      <c r="B144" s="3">
        <v>0</v>
      </c>
    </row>
    <row r="145" spans="1:2" x14ac:dyDescent="0.25">
      <c r="A145" t="s">
        <v>128</v>
      </c>
      <c r="B145" s="3">
        <v>0</v>
      </c>
    </row>
    <row r="146" spans="1:2" x14ac:dyDescent="0.25">
      <c r="A146" t="s">
        <v>129</v>
      </c>
      <c r="B146" s="3">
        <v>0</v>
      </c>
    </row>
    <row r="147" spans="1:2" x14ac:dyDescent="0.25">
      <c r="A147" t="s">
        <v>130</v>
      </c>
      <c r="B147" s="3">
        <v>0</v>
      </c>
    </row>
    <row r="148" spans="1:2" x14ac:dyDescent="0.25">
      <c r="A148" t="s">
        <v>131</v>
      </c>
      <c r="B148" s="3">
        <v>0</v>
      </c>
    </row>
    <row r="149" spans="1:2" x14ac:dyDescent="0.25">
      <c r="A149" t="s">
        <v>132</v>
      </c>
      <c r="B149" s="3">
        <v>0</v>
      </c>
    </row>
    <row r="150" spans="1:2" x14ac:dyDescent="0.25">
      <c r="A150" t="s">
        <v>133</v>
      </c>
      <c r="B150" s="3">
        <v>0</v>
      </c>
    </row>
    <row r="151" spans="1:2" x14ac:dyDescent="0.25">
      <c r="A151" t="s">
        <v>134</v>
      </c>
      <c r="B151" s="3">
        <v>0</v>
      </c>
    </row>
    <row r="152" spans="1:2" x14ac:dyDescent="0.25">
      <c r="A152" t="s">
        <v>135</v>
      </c>
      <c r="B152" s="3">
        <v>0</v>
      </c>
    </row>
    <row r="153" spans="1:2" x14ac:dyDescent="0.25">
      <c r="A153" t="s">
        <v>136</v>
      </c>
      <c r="B153" s="3">
        <v>0</v>
      </c>
    </row>
    <row r="154" spans="1:2" x14ac:dyDescent="0.25">
      <c r="A154" t="s">
        <v>137</v>
      </c>
      <c r="B154" s="3">
        <v>0</v>
      </c>
    </row>
    <row r="155" spans="1:2" x14ac:dyDescent="0.25">
      <c r="A155" t="s">
        <v>138</v>
      </c>
      <c r="B155" s="3">
        <v>0</v>
      </c>
    </row>
    <row r="156" spans="1:2" x14ac:dyDescent="0.25">
      <c r="A156" t="s">
        <v>139</v>
      </c>
      <c r="B156" s="3">
        <v>0</v>
      </c>
    </row>
    <row r="157" spans="1:2" x14ac:dyDescent="0.25">
      <c r="A157" s="1"/>
      <c r="B157" s="2">
        <v>2025</v>
      </c>
    </row>
    <row r="158" spans="1:2" x14ac:dyDescent="0.25">
      <c r="A158" t="s">
        <v>140</v>
      </c>
      <c r="B158" s="3">
        <v>0</v>
      </c>
    </row>
    <row r="159" spans="1:2" x14ac:dyDescent="0.25">
      <c r="A159" t="s">
        <v>141</v>
      </c>
      <c r="B159" s="3">
        <v>0</v>
      </c>
    </row>
    <row r="160" spans="1:2" x14ac:dyDescent="0.25">
      <c r="A160" t="s">
        <v>142</v>
      </c>
      <c r="B160" s="3">
        <v>0</v>
      </c>
    </row>
    <row r="161" spans="1:2" x14ac:dyDescent="0.25">
      <c r="A161" t="s">
        <v>143</v>
      </c>
      <c r="B161" s="3">
        <v>0</v>
      </c>
    </row>
    <row r="162" spans="1:2" x14ac:dyDescent="0.25">
      <c r="A162" t="s">
        <v>144</v>
      </c>
      <c r="B162" s="3">
        <v>0</v>
      </c>
    </row>
    <row r="163" spans="1:2" x14ac:dyDescent="0.25">
      <c r="A163" t="s">
        <v>145</v>
      </c>
      <c r="B163" s="3">
        <v>0</v>
      </c>
    </row>
    <row r="164" spans="1:2" x14ac:dyDescent="0.25">
      <c r="A164" t="s">
        <v>146</v>
      </c>
      <c r="B164" s="3">
        <v>0</v>
      </c>
    </row>
    <row r="165" spans="1:2" x14ac:dyDescent="0.25">
      <c r="A165" t="s">
        <v>147</v>
      </c>
      <c r="B165" s="3">
        <v>0</v>
      </c>
    </row>
    <row r="166" spans="1:2" x14ac:dyDescent="0.25">
      <c r="A166" t="s">
        <v>148</v>
      </c>
      <c r="B166" s="3">
        <v>0</v>
      </c>
    </row>
    <row r="167" spans="1:2" x14ac:dyDescent="0.25">
      <c r="A167" t="s">
        <v>149</v>
      </c>
      <c r="B167" s="3">
        <v>0</v>
      </c>
    </row>
    <row r="168" spans="1:2" x14ac:dyDescent="0.25">
      <c r="A168" t="s">
        <v>150</v>
      </c>
      <c r="B168" s="3">
        <v>0</v>
      </c>
    </row>
    <row r="169" spans="1:2" x14ac:dyDescent="0.25">
      <c r="A169" s="1"/>
      <c r="B169" s="2">
        <v>2025</v>
      </c>
    </row>
    <row r="170" spans="1:2" x14ac:dyDescent="0.25">
      <c r="A170" t="s">
        <v>151</v>
      </c>
      <c r="B170" s="3">
        <v>0</v>
      </c>
    </row>
    <row r="171" spans="1:2" x14ac:dyDescent="0.25">
      <c r="A171" t="s">
        <v>152</v>
      </c>
      <c r="B171" s="3">
        <v>0</v>
      </c>
    </row>
    <row r="172" spans="1:2" x14ac:dyDescent="0.25">
      <c r="A172" t="s">
        <v>153</v>
      </c>
      <c r="B172" s="3">
        <v>0</v>
      </c>
    </row>
    <row r="173" spans="1:2" x14ac:dyDescent="0.25">
      <c r="A173" t="s">
        <v>154</v>
      </c>
      <c r="B173" s="3">
        <v>0</v>
      </c>
    </row>
    <row r="174" spans="1:2" x14ac:dyDescent="0.25">
      <c r="A174" t="s">
        <v>155</v>
      </c>
      <c r="B174" s="3">
        <v>0</v>
      </c>
    </row>
    <row r="175" spans="1:2" x14ac:dyDescent="0.25">
      <c r="A175" t="s">
        <v>156</v>
      </c>
      <c r="B175" s="3">
        <v>0</v>
      </c>
    </row>
    <row r="176" spans="1:2" x14ac:dyDescent="0.25">
      <c r="A176" t="s">
        <v>157</v>
      </c>
      <c r="B176" s="3">
        <v>0</v>
      </c>
    </row>
    <row r="177" spans="1:2" x14ac:dyDescent="0.25">
      <c r="A177" t="s">
        <v>158</v>
      </c>
      <c r="B177" s="3">
        <v>0</v>
      </c>
    </row>
    <row r="178" spans="1:2" x14ac:dyDescent="0.25">
      <c r="A178" t="s">
        <v>159</v>
      </c>
      <c r="B178" s="3">
        <v>0</v>
      </c>
    </row>
    <row r="179" spans="1:2" x14ac:dyDescent="0.25">
      <c r="A179" t="s">
        <v>160</v>
      </c>
      <c r="B179" s="3">
        <v>0</v>
      </c>
    </row>
    <row r="180" spans="1:2" x14ac:dyDescent="0.25">
      <c r="A180" t="s">
        <v>161</v>
      </c>
      <c r="B180" s="3">
        <v>0</v>
      </c>
    </row>
    <row r="181" spans="1:2" x14ac:dyDescent="0.25">
      <c r="A181" t="s">
        <v>162</v>
      </c>
      <c r="B181" s="3">
        <v>0</v>
      </c>
    </row>
    <row r="182" spans="1:2" x14ac:dyDescent="0.25">
      <c r="A182" t="s">
        <v>895</v>
      </c>
      <c r="B182" s="3">
        <v>0</v>
      </c>
    </row>
    <row r="183" spans="1:2" x14ac:dyDescent="0.25">
      <c r="A183" t="s">
        <v>896</v>
      </c>
      <c r="B183" s="3">
        <v>0</v>
      </c>
    </row>
    <row r="184" spans="1:2" x14ac:dyDescent="0.25">
      <c r="A184" t="s">
        <v>897</v>
      </c>
      <c r="B184" s="3">
        <v>0</v>
      </c>
    </row>
    <row r="185" spans="1:2" x14ac:dyDescent="0.25">
      <c r="A185" t="s">
        <v>898</v>
      </c>
      <c r="B185" s="3">
        <v>0</v>
      </c>
    </row>
    <row r="186" spans="1:2" x14ac:dyDescent="0.25">
      <c r="A186" t="s">
        <v>163</v>
      </c>
      <c r="B186" s="3">
        <v>0</v>
      </c>
    </row>
    <row r="187" spans="1:2" x14ac:dyDescent="0.25">
      <c r="A187" t="s">
        <v>164</v>
      </c>
      <c r="B187" s="3">
        <v>0</v>
      </c>
    </row>
    <row r="188" spans="1:2" x14ac:dyDescent="0.25">
      <c r="A188" t="s">
        <v>165</v>
      </c>
      <c r="B188" s="3">
        <v>0</v>
      </c>
    </row>
    <row r="189" spans="1:2" x14ac:dyDescent="0.25">
      <c r="A189" t="s">
        <v>166</v>
      </c>
      <c r="B189" s="3">
        <v>0</v>
      </c>
    </row>
    <row r="190" spans="1:2" x14ac:dyDescent="0.25">
      <c r="A190" t="s">
        <v>167</v>
      </c>
      <c r="B190" s="3">
        <v>0</v>
      </c>
    </row>
    <row r="191" spans="1:2" x14ac:dyDescent="0.25">
      <c r="A191" t="s">
        <v>168</v>
      </c>
      <c r="B191" s="3">
        <v>0</v>
      </c>
    </row>
    <row r="192" spans="1:2" x14ac:dyDescent="0.25">
      <c r="A192" t="s">
        <v>169</v>
      </c>
      <c r="B192" s="3">
        <v>0</v>
      </c>
    </row>
    <row r="193" spans="1:2" x14ac:dyDescent="0.25">
      <c r="A193" t="s">
        <v>170</v>
      </c>
      <c r="B193" s="3">
        <v>0</v>
      </c>
    </row>
    <row r="194" spans="1:2" x14ac:dyDescent="0.25">
      <c r="A194" t="s">
        <v>171</v>
      </c>
      <c r="B194" s="3">
        <v>0</v>
      </c>
    </row>
    <row r="195" spans="1:2" x14ac:dyDescent="0.25">
      <c r="A195" t="s">
        <v>172</v>
      </c>
      <c r="B195" s="3">
        <v>0</v>
      </c>
    </row>
    <row r="196" spans="1:2" x14ac:dyDescent="0.25">
      <c r="A196" t="s">
        <v>173</v>
      </c>
      <c r="B196" s="3">
        <v>0</v>
      </c>
    </row>
    <row r="197" spans="1:2" x14ac:dyDescent="0.25">
      <c r="A197" s="1"/>
      <c r="B197" s="2">
        <v>2025</v>
      </c>
    </row>
    <row r="198" spans="1:2" x14ac:dyDescent="0.25">
      <c r="A198" t="s">
        <v>174</v>
      </c>
      <c r="B198" s="3">
        <v>0</v>
      </c>
    </row>
    <row r="199" spans="1:2" x14ac:dyDescent="0.25">
      <c r="A199" t="s">
        <v>175</v>
      </c>
      <c r="B199" s="3">
        <v>0</v>
      </c>
    </row>
    <row r="200" spans="1:2" x14ac:dyDescent="0.25">
      <c r="A200" t="s">
        <v>176</v>
      </c>
      <c r="B200" s="3">
        <v>0</v>
      </c>
    </row>
    <row r="201" spans="1:2" x14ac:dyDescent="0.25">
      <c r="A201" t="s">
        <v>177</v>
      </c>
      <c r="B201" s="3">
        <v>0</v>
      </c>
    </row>
    <row r="202" spans="1:2" x14ac:dyDescent="0.25">
      <c r="A202" t="s">
        <v>178</v>
      </c>
      <c r="B202" s="3">
        <v>0</v>
      </c>
    </row>
    <row r="203" spans="1:2" x14ac:dyDescent="0.25">
      <c r="A203" t="s">
        <v>179</v>
      </c>
      <c r="B203" s="3">
        <v>0</v>
      </c>
    </row>
    <row r="204" spans="1:2" x14ac:dyDescent="0.25">
      <c r="A204" t="s">
        <v>180</v>
      </c>
      <c r="B204" s="3">
        <v>0</v>
      </c>
    </row>
    <row r="205" spans="1:2" x14ac:dyDescent="0.25">
      <c r="A205" t="s">
        <v>181</v>
      </c>
      <c r="B205" s="3">
        <v>0</v>
      </c>
    </row>
    <row r="206" spans="1:2" x14ac:dyDescent="0.25">
      <c r="A206" t="s">
        <v>182</v>
      </c>
      <c r="B206" s="3">
        <v>0</v>
      </c>
    </row>
    <row r="207" spans="1:2" x14ac:dyDescent="0.25">
      <c r="A207" t="s">
        <v>183</v>
      </c>
      <c r="B207" s="3">
        <v>0</v>
      </c>
    </row>
    <row r="208" spans="1:2" x14ac:dyDescent="0.25">
      <c r="A208" t="s">
        <v>184</v>
      </c>
      <c r="B208" s="3">
        <v>0</v>
      </c>
    </row>
    <row r="209" spans="1:2" x14ac:dyDescent="0.25">
      <c r="A209" t="s">
        <v>185</v>
      </c>
      <c r="B209" s="3">
        <v>0</v>
      </c>
    </row>
    <row r="210" spans="1:2" x14ac:dyDescent="0.25">
      <c r="A210" t="s">
        <v>899</v>
      </c>
      <c r="B210" s="3">
        <v>0</v>
      </c>
    </row>
    <row r="211" spans="1:2" x14ac:dyDescent="0.25">
      <c r="A211" t="s">
        <v>900</v>
      </c>
      <c r="B211" s="3">
        <v>0</v>
      </c>
    </row>
    <row r="212" spans="1:2" x14ac:dyDescent="0.25">
      <c r="A212" t="s">
        <v>901</v>
      </c>
      <c r="B212" s="3">
        <v>0</v>
      </c>
    </row>
    <row r="213" spans="1:2" x14ac:dyDescent="0.25">
      <c r="A213" t="s">
        <v>902</v>
      </c>
      <c r="B213" s="3">
        <v>0</v>
      </c>
    </row>
    <row r="214" spans="1:2" x14ac:dyDescent="0.25">
      <c r="A214" t="s">
        <v>186</v>
      </c>
      <c r="B214" s="3">
        <v>0</v>
      </c>
    </row>
    <row r="215" spans="1:2" x14ac:dyDescent="0.25">
      <c r="A215" t="s">
        <v>187</v>
      </c>
      <c r="B215" s="3">
        <v>0</v>
      </c>
    </row>
    <row r="216" spans="1:2" x14ac:dyDescent="0.25">
      <c r="A216" t="s">
        <v>188</v>
      </c>
      <c r="B216" s="3">
        <v>0</v>
      </c>
    </row>
    <row r="217" spans="1:2" x14ac:dyDescent="0.25">
      <c r="A217" t="s">
        <v>189</v>
      </c>
      <c r="B217" s="3">
        <v>0</v>
      </c>
    </row>
    <row r="218" spans="1:2" x14ac:dyDescent="0.25">
      <c r="A218" t="s">
        <v>190</v>
      </c>
      <c r="B218" s="3">
        <v>0</v>
      </c>
    </row>
    <row r="219" spans="1:2" x14ac:dyDescent="0.25">
      <c r="A219" t="s">
        <v>191</v>
      </c>
      <c r="B219" s="3">
        <v>0</v>
      </c>
    </row>
    <row r="220" spans="1:2" x14ac:dyDescent="0.25">
      <c r="A220" t="s">
        <v>192</v>
      </c>
      <c r="B220" s="3">
        <v>0</v>
      </c>
    </row>
    <row r="221" spans="1:2" x14ac:dyDescent="0.25">
      <c r="A221" t="s">
        <v>193</v>
      </c>
      <c r="B221" s="3">
        <v>0</v>
      </c>
    </row>
    <row r="222" spans="1:2" x14ac:dyDescent="0.25">
      <c r="A222" t="s">
        <v>194</v>
      </c>
      <c r="B222" s="3">
        <v>0</v>
      </c>
    </row>
    <row r="223" spans="1:2" x14ac:dyDescent="0.25">
      <c r="A223" t="s">
        <v>195</v>
      </c>
      <c r="B223" s="3">
        <v>0</v>
      </c>
    </row>
    <row r="224" spans="1:2" x14ac:dyDescent="0.25">
      <c r="A224" t="s">
        <v>196</v>
      </c>
      <c r="B224" s="3">
        <v>0</v>
      </c>
    </row>
    <row r="225" spans="1:100" x14ac:dyDescent="0.25">
      <c r="A225" t="s">
        <v>197</v>
      </c>
      <c r="B225" s="3">
        <v>0</v>
      </c>
    </row>
    <row r="226" spans="1:100" x14ac:dyDescent="0.25">
      <c r="A226" t="s">
        <v>198</v>
      </c>
      <c r="B226" s="3">
        <v>0</v>
      </c>
    </row>
    <row r="227" spans="1:100" x14ac:dyDescent="0.25">
      <c r="A227" t="s">
        <v>199</v>
      </c>
      <c r="B227" s="3">
        <v>0</v>
      </c>
    </row>
    <row r="228" spans="1:100" x14ac:dyDescent="0.25">
      <c r="A228" t="s">
        <v>200</v>
      </c>
      <c r="B228" s="3">
        <v>0</v>
      </c>
    </row>
    <row r="229" spans="1:100" x14ac:dyDescent="0.25">
      <c r="A229" s="1"/>
      <c r="B229" s="2">
        <v>2025</v>
      </c>
    </row>
    <row r="230" spans="1:100" x14ac:dyDescent="0.25">
      <c r="A230" t="s">
        <v>201</v>
      </c>
      <c r="B230" s="3">
        <v>8585.9699999999993</v>
      </c>
    </row>
    <row r="231" spans="1:100" x14ac:dyDescent="0.25">
      <c r="A231" t="s">
        <v>202</v>
      </c>
      <c r="B231" s="3">
        <v>257957869.19</v>
      </c>
    </row>
    <row r="232" spans="1:100" x14ac:dyDescent="0.25">
      <c r="A232" t="s">
        <v>203</v>
      </c>
      <c r="B232" s="3">
        <v>643312.37</v>
      </c>
    </row>
    <row r="233" spans="1:100" x14ac:dyDescent="0.25">
      <c r="A233" t="s">
        <v>204</v>
      </c>
      <c r="B233" s="3">
        <v>119000.51</v>
      </c>
    </row>
    <row r="234" spans="1:100" x14ac:dyDescent="0.25">
      <c r="A234" t="s">
        <v>205</v>
      </c>
      <c r="B234" s="3">
        <v>0</v>
      </c>
    </row>
    <row r="235" spans="1:100" x14ac:dyDescent="0.25">
      <c r="A235" t="s">
        <v>206</v>
      </c>
      <c r="B235" s="3">
        <v>8645931.6999999993</v>
      </c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</row>
    <row r="236" spans="1:100" x14ac:dyDescent="0.25">
      <c r="A236" t="s">
        <v>207</v>
      </c>
      <c r="B236" s="3">
        <v>36511132.229999997</v>
      </c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</row>
    <row r="237" spans="1:100" x14ac:dyDescent="0.25">
      <c r="A237" s="1"/>
      <c r="B237" s="2">
        <v>2025</v>
      </c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</row>
    <row r="238" spans="1:100" x14ac:dyDescent="0.25">
      <c r="A238" t="s">
        <v>208</v>
      </c>
      <c r="B238" s="3">
        <v>0</v>
      </c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</row>
    <row r="239" spans="1:100" x14ac:dyDescent="0.25">
      <c r="A239" t="s">
        <v>209</v>
      </c>
      <c r="B239" s="3">
        <v>0</v>
      </c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</row>
    <row r="240" spans="1:100" x14ac:dyDescent="0.25">
      <c r="A240" t="s">
        <v>210</v>
      </c>
      <c r="B240" s="3">
        <v>0</v>
      </c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</row>
    <row r="241" spans="1:100" x14ac:dyDescent="0.25">
      <c r="A241" t="s">
        <v>211</v>
      </c>
      <c r="B241" s="3">
        <v>0</v>
      </c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</row>
    <row r="242" spans="1:100" x14ac:dyDescent="0.25">
      <c r="A242" t="s">
        <v>212</v>
      </c>
      <c r="B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</row>
    <row r="243" spans="1:100" x14ac:dyDescent="0.25">
      <c r="A243" t="s">
        <v>213</v>
      </c>
      <c r="B243" s="3">
        <v>0</v>
      </c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</row>
    <row r="244" spans="1:100" x14ac:dyDescent="0.25">
      <c r="A244" t="s">
        <v>214</v>
      </c>
      <c r="B244" s="3">
        <v>0</v>
      </c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</row>
    <row r="245" spans="1:100" x14ac:dyDescent="0.25">
      <c r="A245" s="1"/>
      <c r="B245" s="2">
        <v>2025</v>
      </c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</row>
    <row r="246" spans="1:100" x14ac:dyDescent="0.25">
      <c r="A246" t="s">
        <v>215</v>
      </c>
      <c r="B246" s="3">
        <v>13410.6</v>
      </c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</row>
    <row r="247" spans="1:100" x14ac:dyDescent="0.25">
      <c r="A247" t="s">
        <v>216</v>
      </c>
      <c r="B247" s="3">
        <v>0</v>
      </c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</row>
    <row r="248" spans="1:100" x14ac:dyDescent="0.25">
      <c r="A248" t="s">
        <v>217</v>
      </c>
      <c r="B248" s="3">
        <v>1016146134.0599999</v>
      </c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</row>
    <row r="249" spans="1:100" x14ac:dyDescent="0.25">
      <c r="A249" t="s">
        <v>218</v>
      </c>
      <c r="B249" s="3">
        <v>248665475.38</v>
      </c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</row>
    <row r="250" spans="1:100" x14ac:dyDescent="0.25">
      <c r="A250" t="s">
        <v>219</v>
      </c>
      <c r="B250" s="3">
        <v>415280779.51999998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</row>
    <row r="251" spans="1:100" x14ac:dyDescent="0.25">
      <c r="A251" t="s">
        <v>903</v>
      </c>
      <c r="B251" s="3">
        <v>352199879.16000003</v>
      </c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</row>
    <row r="252" spans="1:100" x14ac:dyDescent="0.25">
      <c r="A252" t="s">
        <v>220</v>
      </c>
      <c r="B252" s="3">
        <v>1888584.92</v>
      </c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</row>
    <row r="253" spans="1:100" x14ac:dyDescent="0.25">
      <c r="A253" t="s">
        <v>221</v>
      </c>
      <c r="B253" s="3">
        <v>1780840.11</v>
      </c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</row>
    <row r="254" spans="1:100" x14ac:dyDescent="0.25">
      <c r="A254" t="s">
        <v>222</v>
      </c>
      <c r="B254" s="3">
        <v>888138.23</v>
      </c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</row>
    <row r="255" spans="1:100" x14ac:dyDescent="0.25">
      <c r="A255" t="s">
        <v>223</v>
      </c>
      <c r="B255" s="3">
        <v>0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</row>
    <row r="256" spans="1:100" x14ac:dyDescent="0.25">
      <c r="A256" t="s">
        <v>224</v>
      </c>
      <c r="B256" s="3">
        <v>27333710.02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</row>
    <row r="257" spans="1:100" x14ac:dyDescent="0.25">
      <c r="A257" t="s">
        <v>225</v>
      </c>
      <c r="B257" s="3">
        <v>109235089.39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</row>
    <row r="258" spans="1:100" x14ac:dyDescent="0.25">
      <c r="A258" s="1"/>
      <c r="B258" s="2">
        <v>2025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</row>
    <row r="259" spans="1:100" x14ac:dyDescent="0.25">
      <c r="A259" t="s">
        <v>226</v>
      </c>
      <c r="B259" s="3">
        <v>1453.37</v>
      </c>
    </row>
    <row r="260" spans="1:100" x14ac:dyDescent="0.25">
      <c r="A260" t="s">
        <v>227</v>
      </c>
      <c r="B260" s="3">
        <v>206310952.94</v>
      </c>
    </row>
    <row r="261" spans="1:100" x14ac:dyDescent="0.25">
      <c r="A261" t="s">
        <v>228</v>
      </c>
      <c r="B261" s="3">
        <v>48592993.530000001</v>
      </c>
    </row>
    <row r="262" spans="1:100" x14ac:dyDescent="0.25">
      <c r="A262" t="s">
        <v>229</v>
      </c>
      <c r="B262" s="3">
        <v>90266980.709999993</v>
      </c>
    </row>
    <row r="263" spans="1:100" x14ac:dyDescent="0.25">
      <c r="A263" t="s">
        <v>904</v>
      </c>
      <c r="B263" s="3">
        <v>67450978.700000003</v>
      </c>
    </row>
    <row r="264" spans="1:100" x14ac:dyDescent="0.25">
      <c r="A264" t="s">
        <v>230</v>
      </c>
      <c r="B264" s="3">
        <v>592305.27</v>
      </c>
    </row>
    <row r="265" spans="1:100" x14ac:dyDescent="0.25">
      <c r="A265" t="s">
        <v>231</v>
      </c>
      <c r="B265" s="3">
        <v>544685.55000000005</v>
      </c>
    </row>
    <row r="266" spans="1:100" x14ac:dyDescent="0.25">
      <c r="A266" t="s">
        <v>232</v>
      </c>
      <c r="B266" s="3">
        <v>0</v>
      </c>
    </row>
    <row r="267" spans="1:100" x14ac:dyDescent="0.25">
      <c r="A267" t="s">
        <v>233</v>
      </c>
      <c r="B267" s="3"/>
    </row>
    <row r="268" spans="1:100" x14ac:dyDescent="0.25">
      <c r="A268" t="s">
        <v>234</v>
      </c>
      <c r="B268" s="3">
        <v>21354005.66</v>
      </c>
    </row>
    <row r="269" spans="1:100" x14ac:dyDescent="0.25">
      <c r="A269" t="s">
        <v>235</v>
      </c>
      <c r="B269" s="3">
        <v>2680704.4</v>
      </c>
    </row>
    <row r="270" spans="1:100" x14ac:dyDescent="0.25">
      <c r="A270" s="1"/>
      <c r="B270" s="2">
        <v>2025</v>
      </c>
    </row>
    <row r="271" spans="1:100" x14ac:dyDescent="0.25">
      <c r="A271" t="s">
        <v>236</v>
      </c>
      <c r="B271" s="3">
        <v>0</v>
      </c>
    </row>
    <row r="272" spans="1:100" x14ac:dyDescent="0.25">
      <c r="A272" t="s">
        <v>237</v>
      </c>
      <c r="B272" s="3">
        <v>0</v>
      </c>
    </row>
    <row r="273" spans="1:2" x14ac:dyDescent="0.25">
      <c r="A273" t="s">
        <v>238</v>
      </c>
      <c r="B273" s="3">
        <v>0</v>
      </c>
    </row>
    <row r="274" spans="1:2" x14ac:dyDescent="0.25">
      <c r="A274" t="s">
        <v>239</v>
      </c>
      <c r="B274" s="3">
        <v>0</v>
      </c>
    </row>
    <row r="275" spans="1:2" x14ac:dyDescent="0.25">
      <c r="A275" t="s">
        <v>240</v>
      </c>
      <c r="B275" s="3">
        <v>0</v>
      </c>
    </row>
    <row r="276" spans="1:2" x14ac:dyDescent="0.25">
      <c r="A276" t="s">
        <v>241</v>
      </c>
      <c r="B276" s="3">
        <v>0</v>
      </c>
    </row>
    <row r="277" spans="1:2" x14ac:dyDescent="0.25">
      <c r="A277" t="s">
        <v>242</v>
      </c>
      <c r="B277" s="3">
        <v>0</v>
      </c>
    </row>
    <row r="278" spans="1:2" x14ac:dyDescent="0.25">
      <c r="A278" t="s">
        <v>243</v>
      </c>
      <c r="B278" s="3">
        <v>0</v>
      </c>
    </row>
    <row r="279" spans="1:2" x14ac:dyDescent="0.25">
      <c r="A279" t="s">
        <v>244</v>
      </c>
      <c r="B279" s="3">
        <v>0</v>
      </c>
    </row>
    <row r="280" spans="1:2" x14ac:dyDescent="0.25">
      <c r="A280" t="s">
        <v>245</v>
      </c>
      <c r="B280" s="3">
        <v>0</v>
      </c>
    </row>
    <row r="281" spans="1:2" x14ac:dyDescent="0.25">
      <c r="A281" t="s">
        <v>246</v>
      </c>
      <c r="B281" s="3">
        <v>0</v>
      </c>
    </row>
    <row r="282" spans="1:2" x14ac:dyDescent="0.25">
      <c r="A282" t="s">
        <v>247</v>
      </c>
      <c r="B282" s="3">
        <v>0</v>
      </c>
    </row>
    <row r="283" spans="1:2" x14ac:dyDescent="0.25">
      <c r="A283" s="1"/>
      <c r="B283" s="2">
        <v>2025</v>
      </c>
    </row>
    <row r="284" spans="1:2" x14ac:dyDescent="0.25">
      <c r="A284" t="s">
        <v>248</v>
      </c>
      <c r="B284" s="3">
        <v>0</v>
      </c>
    </row>
    <row r="285" spans="1:2" x14ac:dyDescent="0.25">
      <c r="A285" t="s">
        <v>249</v>
      </c>
      <c r="B285" s="3">
        <v>0</v>
      </c>
    </row>
    <row r="286" spans="1:2" x14ac:dyDescent="0.25">
      <c r="A286" t="s">
        <v>250</v>
      </c>
      <c r="B286" s="3">
        <v>0</v>
      </c>
    </row>
    <row r="287" spans="1:2" x14ac:dyDescent="0.25">
      <c r="A287" t="s">
        <v>251</v>
      </c>
      <c r="B287" s="3">
        <v>0</v>
      </c>
    </row>
    <row r="288" spans="1:2" x14ac:dyDescent="0.25">
      <c r="A288" t="s">
        <v>252</v>
      </c>
      <c r="B288" s="3">
        <v>0</v>
      </c>
    </row>
    <row r="289" spans="1:2" x14ac:dyDescent="0.25">
      <c r="A289" t="s">
        <v>253</v>
      </c>
      <c r="B289" s="3">
        <v>0</v>
      </c>
    </row>
    <row r="290" spans="1:2" x14ac:dyDescent="0.25">
      <c r="A290" t="s">
        <v>254</v>
      </c>
      <c r="B290" s="3">
        <v>0</v>
      </c>
    </row>
    <row r="291" spans="1:2" x14ac:dyDescent="0.25">
      <c r="A291" t="s">
        <v>255</v>
      </c>
      <c r="B291" s="3">
        <v>0</v>
      </c>
    </row>
    <row r="292" spans="1:2" x14ac:dyDescent="0.25">
      <c r="A292" t="s">
        <v>256</v>
      </c>
      <c r="B292" s="3">
        <v>0</v>
      </c>
    </row>
    <row r="293" spans="1:2" x14ac:dyDescent="0.25">
      <c r="A293" t="s">
        <v>257</v>
      </c>
      <c r="B293" s="3">
        <v>0</v>
      </c>
    </row>
    <row r="294" spans="1:2" x14ac:dyDescent="0.25">
      <c r="A294" t="s">
        <v>258</v>
      </c>
      <c r="B294" s="3">
        <v>0</v>
      </c>
    </row>
    <row r="295" spans="1:2" x14ac:dyDescent="0.25">
      <c r="A295" t="s">
        <v>259</v>
      </c>
      <c r="B295" s="3">
        <v>0</v>
      </c>
    </row>
    <row r="296" spans="1:2" x14ac:dyDescent="0.25">
      <c r="A296" s="1"/>
      <c r="B296" s="2">
        <v>2025</v>
      </c>
    </row>
    <row r="297" spans="1:2" x14ac:dyDescent="0.25">
      <c r="A297" t="s">
        <v>260</v>
      </c>
      <c r="B297" s="3">
        <v>358</v>
      </c>
    </row>
    <row r="298" spans="1:2" x14ac:dyDescent="0.25">
      <c r="A298" t="s">
        <v>261</v>
      </c>
      <c r="B298" s="3">
        <v>16746144.810000001</v>
      </c>
    </row>
    <row r="299" spans="1:2" x14ac:dyDescent="0.25">
      <c r="A299" t="s">
        <v>262</v>
      </c>
      <c r="B299" s="3">
        <v>0</v>
      </c>
    </row>
    <row r="300" spans="1:2" x14ac:dyDescent="0.25">
      <c r="A300" t="s">
        <v>263</v>
      </c>
      <c r="B300" s="3">
        <v>0</v>
      </c>
    </row>
    <row r="301" spans="1:2" x14ac:dyDescent="0.25">
      <c r="A301" t="s">
        <v>264</v>
      </c>
      <c r="B301" s="3">
        <v>13506304</v>
      </c>
    </row>
    <row r="302" spans="1:2" x14ac:dyDescent="0.25">
      <c r="A302" t="s">
        <v>265</v>
      </c>
      <c r="B302" s="3">
        <v>0</v>
      </c>
    </row>
    <row r="303" spans="1:2" x14ac:dyDescent="0.25">
      <c r="A303" s="1"/>
      <c r="B303" s="2">
        <v>2025</v>
      </c>
    </row>
    <row r="304" spans="1:2" x14ac:dyDescent="0.25">
      <c r="A304" t="s">
        <v>266</v>
      </c>
      <c r="B304" s="3">
        <v>11496402</v>
      </c>
    </row>
    <row r="305" spans="1:2" x14ac:dyDescent="0.25">
      <c r="A305" t="s">
        <v>267</v>
      </c>
      <c r="B305" s="3">
        <v>2809721</v>
      </c>
    </row>
    <row r="306" spans="1:2" x14ac:dyDescent="0.25">
      <c r="A306" t="s">
        <v>268</v>
      </c>
      <c r="B306" s="3">
        <v>4768707</v>
      </c>
    </row>
    <row r="307" spans="1:2" x14ac:dyDescent="0.25">
      <c r="A307" t="s">
        <v>906</v>
      </c>
      <c r="B307" s="3">
        <v>3917974</v>
      </c>
    </row>
    <row r="308" spans="1:2" x14ac:dyDescent="0.25">
      <c r="A308" t="s">
        <v>269</v>
      </c>
      <c r="B308" s="3">
        <v>30267</v>
      </c>
    </row>
    <row r="309" spans="1:2" x14ac:dyDescent="0.25">
      <c r="A309" t="s">
        <v>270</v>
      </c>
      <c r="B309" s="3">
        <v>37120</v>
      </c>
    </row>
    <row r="310" spans="1:2" x14ac:dyDescent="0.25">
      <c r="A310" s="1"/>
      <c r="B310" s="2">
        <v>2025</v>
      </c>
    </row>
    <row r="311" spans="1:2" x14ac:dyDescent="0.25">
      <c r="A311" t="s">
        <v>271</v>
      </c>
      <c r="B311" s="3">
        <v>5249743</v>
      </c>
    </row>
    <row r="312" spans="1:2" x14ac:dyDescent="0.25">
      <c r="A312" t="s">
        <v>272</v>
      </c>
      <c r="B312" s="3">
        <v>1283037</v>
      </c>
    </row>
    <row r="313" spans="1:2" x14ac:dyDescent="0.25">
      <c r="A313" t="s">
        <v>273</v>
      </c>
      <c r="B313" s="3">
        <v>2177593</v>
      </c>
    </row>
    <row r="314" spans="1:2" x14ac:dyDescent="0.25">
      <c r="A314" t="s">
        <v>905</v>
      </c>
      <c r="B314" s="7">
        <v>1789114</v>
      </c>
    </row>
    <row r="315" spans="1:2" x14ac:dyDescent="0.25">
      <c r="A315" t="s">
        <v>274</v>
      </c>
      <c r="B315" s="3">
        <v>86588.24</v>
      </c>
    </row>
    <row r="316" spans="1:2" x14ac:dyDescent="0.25">
      <c r="A316" t="s">
        <v>275</v>
      </c>
      <c r="B316" s="3">
        <v>38043.1</v>
      </c>
    </row>
    <row r="317" spans="1:2" x14ac:dyDescent="0.25">
      <c r="A317" t="s">
        <v>276</v>
      </c>
      <c r="B317" s="3">
        <v>171208.81</v>
      </c>
    </row>
    <row r="318" spans="1:2" x14ac:dyDescent="0.25">
      <c r="A318" s="1"/>
      <c r="B318" s="2">
        <v>2025</v>
      </c>
    </row>
    <row r="319" spans="1:2" x14ac:dyDescent="0.25">
      <c r="A319" t="s">
        <v>277</v>
      </c>
      <c r="B319" s="3">
        <v>2587</v>
      </c>
    </row>
    <row r="320" spans="1:2" x14ac:dyDescent="0.25">
      <c r="A320" t="s">
        <v>278</v>
      </c>
      <c r="B320" s="3">
        <v>527953235.63</v>
      </c>
    </row>
    <row r="321" spans="1:2" x14ac:dyDescent="0.25">
      <c r="A321" t="s">
        <v>279</v>
      </c>
      <c r="B321" s="3">
        <v>0</v>
      </c>
    </row>
    <row r="322" spans="1:2" x14ac:dyDescent="0.25">
      <c r="A322" t="s">
        <v>280</v>
      </c>
      <c r="B322" s="3">
        <v>0</v>
      </c>
    </row>
    <row r="323" spans="1:2" x14ac:dyDescent="0.25">
      <c r="A323" t="s">
        <v>281</v>
      </c>
      <c r="B323" s="3">
        <v>32205802</v>
      </c>
    </row>
    <row r="324" spans="1:2" x14ac:dyDescent="0.25">
      <c r="A324" t="s">
        <v>282</v>
      </c>
      <c r="B324" s="3">
        <v>117949</v>
      </c>
    </row>
    <row r="325" spans="1:2" x14ac:dyDescent="0.25">
      <c r="A325" s="1"/>
      <c r="B325" s="2">
        <v>2025</v>
      </c>
    </row>
    <row r="326" spans="1:2" x14ac:dyDescent="0.25">
      <c r="A326" t="s">
        <v>283</v>
      </c>
      <c r="B326" s="3">
        <v>320971051</v>
      </c>
    </row>
    <row r="327" spans="1:2" x14ac:dyDescent="0.25">
      <c r="A327" t="s">
        <v>284</v>
      </c>
      <c r="B327" s="3">
        <v>78130773</v>
      </c>
    </row>
    <row r="328" spans="1:2" x14ac:dyDescent="0.25">
      <c r="A328" t="s">
        <v>285</v>
      </c>
      <c r="B328" s="3">
        <v>126481852</v>
      </c>
    </row>
    <row r="329" spans="1:2" x14ac:dyDescent="0.25">
      <c r="A329" t="s">
        <v>907</v>
      </c>
      <c r="B329" s="3">
        <v>116358426</v>
      </c>
    </row>
    <row r="330" spans="1:2" x14ac:dyDescent="0.25">
      <c r="A330" t="s">
        <v>286</v>
      </c>
      <c r="B330" s="3">
        <v>516200</v>
      </c>
    </row>
    <row r="331" spans="1:2" x14ac:dyDescent="0.25">
      <c r="A331" t="s">
        <v>287</v>
      </c>
      <c r="B331" s="3">
        <v>482200</v>
      </c>
    </row>
    <row r="332" spans="1:2" x14ac:dyDescent="0.25">
      <c r="A332" s="1"/>
      <c r="B332" s="2">
        <v>2025</v>
      </c>
    </row>
    <row r="333" spans="1:2" x14ac:dyDescent="0.25">
      <c r="A333" t="s">
        <v>288</v>
      </c>
      <c r="B333" s="3">
        <v>206982184</v>
      </c>
    </row>
    <row r="334" spans="1:2" x14ac:dyDescent="0.25">
      <c r="A334" t="s">
        <v>289</v>
      </c>
      <c r="B334" s="3">
        <v>50383603</v>
      </c>
    </row>
    <row r="335" spans="1:2" x14ac:dyDescent="0.25">
      <c r="A335" t="s">
        <v>290</v>
      </c>
      <c r="B335" s="3">
        <v>81563400</v>
      </c>
    </row>
    <row r="336" spans="1:2" x14ac:dyDescent="0.25">
      <c r="A336" t="s">
        <v>908</v>
      </c>
      <c r="B336" s="3">
        <v>75035181</v>
      </c>
    </row>
    <row r="337" spans="1:3" x14ac:dyDescent="0.25">
      <c r="A337" t="s">
        <v>291</v>
      </c>
      <c r="B337" s="3">
        <v>1691241.73</v>
      </c>
    </row>
    <row r="338" spans="1:3" x14ac:dyDescent="0.25">
      <c r="A338" t="s">
        <v>292</v>
      </c>
      <c r="B338" s="3">
        <v>355048.34</v>
      </c>
    </row>
    <row r="339" spans="1:3" x14ac:dyDescent="0.25">
      <c r="A339" t="s">
        <v>293</v>
      </c>
      <c r="B339" s="3">
        <v>8856414.7300000004</v>
      </c>
    </row>
    <row r="340" spans="1:3" x14ac:dyDescent="0.25">
      <c r="A340" s="1"/>
      <c r="B340" s="2">
        <v>2025</v>
      </c>
    </row>
    <row r="341" spans="1:3" x14ac:dyDescent="0.25">
      <c r="A341" t="s">
        <v>294</v>
      </c>
      <c r="B341" s="3">
        <v>0</v>
      </c>
    </row>
    <row r="342" spans="1:3" x14ac:dyDescent="0.25">
      <c r="A342" t="s">
        <v>295</v>
      </c>
      <c r="B342" s="3">
        <v>86098</v>
      </c>
    </row>
    <row r="343" spans="1:3" x14ac:dyDescent="0.25">
      <c r="A343" t="s">
        <v>296</v>
      </c>
      <c r="B343" s="3">
        <v>90971810.510000005</v>
      </c>
    </row>
    <row r="344" spans="1:3" x14ac:dyDescent="0.25">
      <c r="A344" t="s">
        <v>297</v>
      </c>
      <c r="B344" s="3">
        <v>16099788</v>
      </c>
      <c r="C344" s="6"/>
    </row>
    <row r="345" spans="1:3" x14ac:dyDescent="0.25">
      <c r="A345" t="s">
        <v>298</v>
      </c>
      <c r="B345" s="7">
        <v>654726.75</v>
      </c>
      <c r="C345" s="6"/>
    </row>
    <row r="346" spans="1:3" x14ac:dyDescent="0.25">
      <c r="A346" t="s">
        <v>299</v>
      </c>
      <c r="B346" s="7">
        <v>1200</v>
      </c>
      <c r="C346" s="6"/>
    </row>
    <row r="347" spans="1:3" x14ac:dyDescent="0.25">
      <c r="A347" s="1"/>
      <c r="B347" s="2">
        <v>2025</v>
      </c>
    </row>
    <row r="348" spans="1:3" x14ac:dyDescent="0.25">
      <c r="A348" t="s">
        <v>300</v>
      </c>
      <c r="B348" s="3">
        <v>7490717.6144992188</v>
      </c>
    </row>
    <row r="349" spans="1:3" x14ac:dyDescent="0.25">
      <c r="A349" t="s">
        <v>301</v>
      </c>
      <c r="B349" s="3">
        <v>271425.18464868463</v>
      </c>
    </row>
    <row r="350" spans="1:3" x14ac:dyDescent="0.25">
      <c r="A350" t="s">
        <v>302</v>
      </c>
      <c r="B350" s="3">
        <v>14948840</v>
      </c>
    </row>
    <row r="351" spans="1:3" x14ac:dyDescent="0.25">
      <c r="A351" s="1"/>
      <c r="B351" s="2">
        <v>2025</v>
      </c>
    </row>
    <row r="352" spans="1:3" x14ac:dyDescent="0.25">
      <c r="A352" t="s">
        <v>303</v>
      </c>
      <c r="B352" s="3">
        <v>0</v>
      </c>
    </row>
    <row r="353" spans="1:2" x14ac:dyDescent="0.25">
      <c r="B353" s="3"/>
    </row>
    <row r="354" spans="1:2" x14ac:dyDescent="0.25">
      <c r="A354" s="1"/>
      <c r="B354" s="2">
        <v>2025</v>
      </c>
    </row>
    <row r="355" spans="1:2" x14ac:dyDescent="0.25">
      <c r="A355" t="s">
        <v>827</v>
      </c>
      <c r="B355" s="3">
        <v>0</v>
      </c>
    </row>
    <row r="356" spans="1:2" x14ac:dyDescent="0.25">
      <c r="A356" t="s">
        <v>828</v>
      </c>
      <c r="B356" s="3">
        <v>0</v>
      </c>
    </row>
    <row r="357" spans="1:2" x14ac:dyDescent="0.25">
      <c r="A357" t="s">
        <v>829</v>
      </c>
      <c r="B357" s="3">
        <v>0</v>
      </c>
    </row>
    <row r="358" spans="1:2" x14ac:dyDescent="0.25">
      <c r="A358" t="s">
        <v>833</v>
      </c>
      <c r="B358" s="3">
        <v>0</v>
      </c>
    </row>
    <row r="359" spans="1:2" x14ac:dyDescent="0.25">
      <c r="A359" t="s">
        <v>834</v>
      </c>
      <c r="B359" s="3">
        <v>0</v>
      </c>
    </row>
    <row r="360" spans="1:2" x14ac:dyDescent="0.25">
      <c r="A360" t="s">
        <v>835</v>
      </c>
      <c r="B360" s="3">
        <v>0</v>
      </c>
    </row>
    <row r="361" spans="1:2" x14ac:dyDescent="0.25">
      <c r="A361" t="s">
        <v>830</v>
      </c>
      <c r="B361" s="3">
        <v>0</v>
      </c>
    </row>
    <row r="362" spans="1:2" x14ac:dyDescent="0.25">
      <c r="A362" t="s">
        <v>831</v>
      </c>
      <c r="B362" s="3">
        <v>0</v>
      </c>
    </row>
    <row r="363" spans="1:2" x14ac:dyDescent="0.25">
      <c r="A363" t="s">
        <v>832</v>
      </c>
      <c r="B363" s="3">
        <v>0</v>
      </c>
    </row>
    <row r="364" spans="1:2" x14ac:dyDescent="0.25">
      <c r="A364" t="s">
        <v>836</v>
      </c>
      <c r="B364" s="3">
        <v>0</v>
      </c>
    </row>
    <row r="365" spans="1:2" x14ac:dyDescent="0.25">
      <c r="A365" t="s">
        <v>837</v>
      </c>
      <c r="B365" s="3">
        <v>0</v>
      </c>
    </row>
    <row r="366" spans="1:2" x14ac:dyDescent="0.25">
      <c r="A366" t="s">
        <v>838</v>
      </c>
      <c r="B366" s="3">
        <v>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4A47-D089-4ED3-B988-E158EC31E43B}">
  <dimension ref="A1:Z362"/>
  <sheetViews>
    <sheetView topLeftCell="A141" workbookViewId="0">
      <selection activeCell="I162" sqref="I162"/>
    </sheetView>
  </sheetViews>
  <sheetFormatPr defaultColWidth="9.140625" defaultRowHeight="12.75" x14ac:dyDescent="0.2"/>
  <cols>
    <col min="1" max="1" width="4.42578125" style="265" customWidth="1"/>
    <col min="2" max="2" width="4.5703125" style="265" customWidth="1"/>
    <col min="3" max="3" width="9.42578125" style="265" customWidth="1"/>
    <col min="4" max="5" width="10.140625" style="265" customWidth="1"/>
    <col min="6" max="6" width="9.7109375" style="265" customWidth="1"/>
    <col min="7" max="7" width="7.42578125" style="265" customWidth="1"/>
    <col min="8" max="8" width="8.7109375" style="265" customWidth="1"/>
    <col min="9" max="9" width="12.28515625" style="265" bestFit="1" customWidth="1"/>
    <col min="10" max="11" width="9.5703125" style="265" customWidth="1"/>
    <col min="12" max="12" width="9.85546875" style="265" customWidth="1"/>
    <col min="13" max="13" width="9.5703125" style="265" customWidth="1"/>
    <col min="14" max="14" width="10.140625" style="265" customWidth="1"/>
    <col min="15" max="15" width="10" style="265" customWidth="1"/>
    <col min="16" max="16" width="9" style="265" customWidth="1"/>
    <col min="17" max="17" width="8.140625" style="265" customWidth="1"/>
    <col min="18" max="18" width="9.85546875" style="265" customWidth="1"/>
    <col min="19" max="19" width="12.28515625" style="265" bestFit="1" customWidth="1"/>
    <col min="20" max="20" width="9.85546875" style="265" bestFit="1" customWidth="1"/>
    <col min="21" max="21" width="9.85546875" style="265" customWidth="1"/>
    <col min="22" max="22" width="11.85546875" style="265" customWidth="1"/>
    <col min="23" max="23" width="10" style="265" customWidth="1"/>
    <col min="24" max="24" width="8.28515625" style="265" customWidth="1"/>
    <col min="25" max="25" width="9.42578125" style="265" bestFit="1" customWidth="1"/>
    <col min="26" max="16384" width="9.140625" style="265"/>
  </cols>
  <sheetData>
    <row r="1" spans="1:26" ht="13.5" thickBot="1" x14ac:dyDescent="0.25">
      <c r="A1" s="114" t="s">
        <v>1295</v>
      </c>
      <c r="B1" s="114"/>
      <c r="C1" s="114"/>
      <c r="D1" s="114"/>
      <c r="E1" s="114"/>
      <c r="F1" s="114"/>
      <c r="G1" s="114"/>
      <c r="H1" s="114" t="s">
        <v>1296</v>
      </c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263" t="s">
        <v>1297</v>
      </c>
      <c r="Z1" s="264"/>
    </row>
    <row r="2" spans="1:26" x14ac:dyDescent="0.2">
      <c r="A2" s="113" t="s">
        <v>307</v>
      </c>
      <c r="B2" s="113"/>
      <c r="C2" s="113"/>
      <c r="D2" s="113"/>
      <c r="E2" s="113"/>
      <c r="F2" s="113" t="s">
        <v>1298</v>
      </c>
      <c r="G2" s="113"/>
      <c r="H2" s="113" t="s">
        <v>1299</v>
      </c>
      <c r="I2" s="113"/>
      <c r="J2" s="113"/>
      <c r="K2" s="113"/>
      <c r="L2" s="113"/>
      <c r="M2" s="115"/>
      <c r="N2" s="115"/>
      <c r="O2" s="113"/>
      <c r="P2" s="115"/>
      <c r="Q2" s="115"/>
      <c r="R2" s="115"/>
      <c r="S2" s="115"/>
      <c r="T2" s="115"/>
      <c r="V2" s="115" t="s">
        <v>845</v>
      </c>
      <c r="W2" s="113"/>
      <c r="X2" s="113"/>
      <c r="Y2" s="116"/>
    </row>
    <row r="3" spans="1:26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7"/>
      <c r="N3" s="116"/>
      <c r="O3" s="113"/>
      <c r="P3" s="113"/>
      <c r="Q3" s="113"/>
      <c r="R3" s="113"/>
      <c r="S3" s="113"/>
      <c r="T3" s="113"/>
      <c r="V3" s="117" t="s">
        <v>916</v>
      </c>
      <c r="W3" s="116" t="s">
        <v>1512</v>
      </c>
      <c r="X3" s="113"/>
      <c r="Y3" s="117"/>
    </row>
    <row r="4" spans="1:26" x14ac:dyDescent="0.2">
      <c r="A4" s="113" t="s">
        <v>310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7"/>
      <c r="N4" s="116"/>
      <c r="O4" s="117"/>
      <c r="P4" s="113"/>
      <c r="Q4" s="113"/>
      <c r="R4" s="113"/>
      <c r="S4" s="113"/>
      <c r="T4" s="113"/>
      <c r="U4" s="113"/>
      <c r="W4" s="116"/>
      <c r="X4" s="113"/>
      <c r="Y4" s="117"/>
    </row>
    <row r="5" spans="1:26" x14ac:dyDescent="0.2">
      <c r="A5" s="113"/>
      <c r="B5" s="113"/>
      <c r="C5" s="113"/>
      <c r="D5" s="113"/>
      <c r="E5" s="113"/>
      <c r="F5" s="113"/>
      <c r="G5" s="372" t="s">
        <v>1300</v>
      </c>
      <c r="H5" s="372"/>
      <c r="I5" s="372"/>
      <c r="J5" s="372"/>
      <c r="K5" s="372"/>
      <c r="L5" s="372"/>
      <c r="M5" s="372"/>
      <c r="N5" s="372"/>
      <c r="O5" s="372"/>
      <c r="P5" s="372"/>
      <c r="Q5" s="372"/>
      <c r="R5" s="113"/>
      <c r="S5" s="113"/>
      <c r="T5" s="113"/>
      <c r="U5" s="113"/>
      <c r="W5" s="116"/>
      <c r="X5" s="113"/>
      <c r="Y5" s="117"/>
    </row>
    <row r="6" spans="1:26" ht="13.5" thickBot="1" x14ac:dyDescent="0.25">
      <c r="A6" s="114" t="s">
        <v>1292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8"/>
      <c r="N6" s="114"/>
      <c r="O6" s="114"/>
      <c r="P6" s="114"/>
      <c r="Q6" s="114"/>
      <c r="R6" s="114"/>
      <c r="S6" s="114"/>
      <c r="T6" s="114"/>
      <c r="U6" s="114"/>
      <c r="V6" s="264"/>
      <c r="W6" s="114" t="s">
        <v>1519</v>
      </c>
      <c r="X6" s="114"/>
      <c r="Y6" s="114"/>
      <c r="Z6" s="264"/>
    </row>
    <row r="7" spans="1:26" x14ac:dyDescent="0.2">
      <c r="A7" s="113"/>
      <c r="B7" s="373" t="s">
        <v>1301</v>
      </c>
      <c r="C7" s="373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266"/>
    </row>
    <row r="8" spans="1:26" x14ac:dyDescent="0.2">
      <c r="B8" s="374" t="s">
        <v>814</v>
      </c>
      <c r="C8" s="374"/>
      <c r="D8" s="375" t="s">
        <v>1302</v>
      </c>
      <c r="E8" s="375"/>
      <c r="F8" s="375"/>
      <c r="G8" s="375"/>
      <c r="H8" s="375"/>
      <c r="I8" s="375"/>
      <c r="J8" s="375"/>
      <c r="K8" s="375"/>
      <c r="L8" s="375"/>
      <c r="M8" s="375"/>
      <c r="N8" s="375" t="s">
        <v>1303</v>
      </c>
      <c r="O8" s="375"/>
      <c r="P8" s="375"/>
      <c r="Q8" s="375"/>
      <c r="R8" s="375"/>
      <c r="S8" s="375"/>
      <c r="T8" s="375"/>
      <c r="U8" s="375"/>
      <c r="W8" s="375" t="s">
        <v>1304</v>
      </c>
      <c r="X8" s="375"/>
      <c r="Y8" s="375" t="s">
        <v>1305</v>
      </c>
      <c r="Z8" s="375"/>
    </row>
    <row r="9" spans="1:26" x14ac:dyDescent="0.2">
      <c r="A9" s="113"/>
      <c r="B9" s="120" t="s">
        <v>846</v>
      </c>
      <c r="C9" s="120" t="s">
        <v>847</v>
      </c>
      <c r="D9" s="267" t="s">
        <v>848</v>
      </c>
      <c r="E9" s="120" t="s">
        <v>849</v>
      </c>
      <c r="F9" s="120" t="s">
        <v>1306</v>
      </c>
      <c r="G9" s="119" t="s">
        <v>1307</v>
      </c>
      <c r="H9" s="119" t="s">
        <v>1308</v>
      </c>
      <c r="I9" s="119" t="s">
        <v>1309</v>
      </c>
      <c r="J9" s="119" t="s">
        <v>1310</v>
      </c>
      <c r="K9" s="268" t="s">
        <v>1311</v>
      </c>
      <c r="L9" s="268" t="s">
        <v>1312</v>
      </c>
      <c r="M9" s="269" t="s">
        <v>1313</v>
      </c>
      <c r="N9" s="119" t="s">
        <v>1314</v>
      </c>
      <c r="O9" s="119" t="s">
        <v>1315</v>
      </c>
      <c r="P9" s="119" t="s">
        <v>1316</v>
      </c>
      <c r="Q9" s="119" t="s">
        <v>1317</v>
      </c>
      <c r="R9" s="119" t="s">
        <v>1318</v>
      </c>
      <c r="S9" s="119" t="s">
        <v>1319</v>
      </c>
      <c r="T9" s="119" t="s">
        <v>1320</v>
      </c>
      <c r="U9" s="268" t="s">
        <v>1321</v>
      </c>
      <c r="V9" s="269" t="s">
        <v>1322</v>
      </c>
      <c r="W9" s="269" t="s">
        <v>1323</v>
      </c>
      <c r="X9" s="119" t="s">
        <v>1324</v>
      </c>
      <c r="Y9" s="119" t="s">
        <v>1325</v>
      </c>
      <c r="Z9" s="119" t="s">
        <v>1326</v>
      </c>
    </row>
    <row r="10" spans="1:26" x14ac:dyDescent="0.2">
      <c r="A10" s="120" t="s">
        <v>313</v>
      </c>
      <c r="B10" s="120" t="s">
        <v>1327</v>
      </c>
      <c r="C10" s="120"/>
      <c r="D10" s="270" t="s">
        <v>1328</v>
      </c>
      <c r="E10" s="120" t="s">
        <v>1329</v>
      </c>
      <c r="F10" s="120" t="s">
        <v>1330</v>
      </c>
      <c r="G10" s="119" t="s">
        <v>1331</v>
      </c>
      <c r="H10" s="120" t="s">
        <v>1332</v>
      </c>
      <c r="I10" s="120" t="s">
        <v>1333</v>
      </c>
      <c r="J10" s="120" t="s">
        <v>1334</v>
      </c>
      <c r="K10" s="120" t="s">
        <v>1335</v>
      </c>
      <c r="L10" s="120" t="s">
        <v>1336</v>
      </c>
      <c r="M10" s="271" t="s">
        <v>717</v>
      </c>
      <c r="N10" s="120" t="s">
        <v>1328</v>
      </c>
      <c r="O10" s="120" t="s">
        <v>1329</v>
      </c>
      <c r="P10" s="119" t="s">
        <v>1330</v>
      </c>
      <c r="Q10" s="119" t="s">
        <v>1331</v>
      </c>
      <c r="R10" s="120" t="s">
        <v>1332</v>
      </c>
      <c r="S10" s="120" t="s">
        <v>1333</v>
      </c>
      <c r="T10" s="120" t="s">
        <v>1334</v>
      </c>
      <c r="U10" s="120" t="s">
        <v>1336</v>
      </c>
      <c r="V10" s="271" t="s">
        <v>717</v>
      </c>
      <c r="W10" s="119" t="s">
        <v>1337</v>
      </c>
      <c r="X10" s="271" t="s">
        <v>1338</v>
      </c>
      <c r="Y10" s="120" t="s">
        <v>1339</v>
      </c>
      <c r="Z10" s="120" t="s">
        <v>1340</v>
      </c>
    </row>
    <row r="11" spans="1:26" ht="13.5" thickBot="1" x14ac:dyDescent="0.25">
      <c r="A11" s="118" t="s">
        <v>319</v>
      </c>
      <c r="B11" s="272" t="s">
        <v>1341</v>
      </c>
      <c r="C11" s="273" t="s">
        <v>1342</v>
      </c>
      <c r="D11" s="274" t="s">
        <v>1343</v>
      </c>
      <c r="E11" s="273" t="s">
        <v>1344</v>
      </c>
      <c r="F11" s="273" t="s">
        <v>1344</v>
      </c>
      <c r="G11" s="121" t="s">
        <v>1344</v>
      </c>
      <c r="H11" s="273" t="s">
        <v>1344</v>
      </c>
      <c r="I11" s="273" t="s">
        <v>1345</v>
      </c>
      <c r="J11" s="273" t="s">
        <v>1344</v>
      </c>
      <c r="K11" s="273" t="s">
        <v>1346</v>
      </c>
      <c r="L11" s="273" t="s">
        <v>1344</v>
      </c>
      <c r="M11" s="275"/>
      <c r="N11" s="121" t="s">
        <v>1343</v>
      </c>
      <c r="O11" s="121" t="s">
        <v>1344</v>
      </c>
      <c r="P11" s="121" t="s">
        <v>1344</v>
      </c>
      <c r="Q11" s="121" t="s">
        <v>1344</v>
      </c>
      <c r="R11" s="273" t="s">
        <v>1344</v>
      </c>
      <c r="S11" s="273" t="s">
        <v>1345</v>
      </c>
      <c r="T11" s="273" t="s">
        <v>1344</v>
      </c>
      <c r="U11" s="273" t="s">
        <v>1344</v>
      </c>
      <c r="V11" s="275"/>
      <c r="W11" s="273" t="s">
        <v>1347</v>
      </c>
      <c r="X11" s="275" t="s">
        <v>1348</v>
      </c>
      <c r="Y11" s="118" t="s">
        <v>1349</v>
      </c>
      <c r="Z11" s="118" t="s">
        <v>1350</v>
      </c>
    </row>
    <row r="12" spans="1:26" x14ac:dyDescent="0.2">
      <c r="A12" s="120">
        <v>1</v>
      </c>
      <c r="B12" s="276">
        <v>0</v>
      </c>
      <c r="C12" s="128">
        <v>0</v>
      </c>
      <c r="D12" s="277">
        <f>IF($C12&gt;1000,($C12-1000)*$F$40/100+1000*$F$39/100+$F$36,$C12*$F$39/100+$F$36)</f>
        <v>34.053244297200003</v>
      </c>
      <c r="E12" s="278">
        <f>IF($C12&gt;1000,($C12-1000)*$F$43/100+1000*$F$42/100,$C12*$F$42/100)</f>
        <v>0</v>
      </c>
      <c r="F12" s="278">
        <f>+$C12*$F$44/100</f>
        <v>0</v>
      </c>
      <c r="G12" s="278">
        <f>+$C12*$F$45/100</f>
        <v>0</v>
      </c>
      <c r="H12" s="278">
        <f>$C12*$F$47/100</f>
        <v>0</v>
      </c>
      <c r="I12" s="278">
        <f>$C12*$F$46/100</f>
        <v>0</v>
      </c>
      <c r="J12" s="278">
        <f>$C12*$F$48/100</f>
        <v>0</v>
      </c>
      <c r="K12" s="278">
        <f>+C12*$F$49/100</f>
        <v>0</v>
      </c>
      <c r="L12" s="278">
        <f>+SUM(D12:K12)*0.025641</f>
        <v>0.87315923702450526</v>
      </c>
      <c r="M12" s="278">
        <f>SUM(D12:L12)</f>
        <v>34.926403534224505</v>
      </c>
      <c r="N12" s="279">
        <f>IF($C12&gt;1000,($C12-1000)*$I$40/100+1000*$I$39/100+$I$36,$C12*$I$39/100+$I$36)</f>
        <v>35.4</v>
      </c>
      <c r="O12" s="278">
        <f>IF($C12&gt;1000,($C12-1000)*$I$43/100+1000*$I$42/100,$C12*$I$42/100)</f>
        <v>0</v>
      </c>
      <c r="P12" s="278">
        <f>+$C12*$I$44/100</f>
        <v>0</v>
      </c>
      <c r="Q12" s="278">
        <f>+$C12*$I$45/100</f>
        <v>0</v>
      </c>
      <c r="R12" s="278">
        <f>$C12*$I$47/100</f>
        <v>0</v>
      </c>
      <c r="S12" s="278">
        <f>$C12*$I$46/100</f>
        <v>0</v>
      </c>
      <c r="T12" s="278">
        <f>$C12*$I$48/100</f>
        <v>0</v>
      </c>
      <c r="U12" s="278">
        <f>+SUM(N12:T12)*0.025641</f>
        <v>0.90769140000000004</v>
      </c>
      <c r="V12" s="278">
        <f>SUM(N12:U12)</f>
        <v>36.307691399999996</v>
      </c>
      <c r="W12" s="279">
        <f>+V12-M12</f>
        <v>1.3812878657754908</v>
      </c>
      <c r="X12" s="280">
        <f>+W12/M12</f>
        <v>3.9548528505718085E-2</v>
      </c>
      <c r="Y12" s="281">
        <v>0</v>
      </c>
      <c r="Z12" s="282">
        <v>0</v>
      </c>
    </row>
    <row r="13" spans="1:26" x14ac:dyDescent="0.2">
      <c r="A13" s="120">
        <v>2</v>
      </c>
      <c r="B13" s="276"/>
      <c r="C13" s="128"/>
      <c r="D13" s="277"/>
      <c r="E13" s="278"/>
      <c r="F13" s="278"/>
      <c r="G13" s="278"/>
      <c r="H13" s="278"/>
      <c r="I13" s="278"/>
      <c r="J13" s="278"/>
      <c r="K13" s="278"/>
      <c r="L13" s="278"/>
      <c r="M13" s="278"/>
      <c r="N13" s="277"/>
      <c r="O13" s="278"/>
      <c r="P13" s="278"/>
      <c r="Q13" s="278"/>
      <c r="R13" s="278"/>
      <c r="S13" s="278"/>
      <c r="T13" s="278"/>
      <c r="U13" s="278"/>
      <c r="V13" s="278"/>
      <c r="W13" s="277"/>
      <c r="X13" s="280"/>
      <c r="Y13" s="283"/>
      <c r="Z13" s="282"/>
    </row>
    <row r="14" spans="1:26" x14ac:dyDescent="0.2">
      <c r="A14" s="120">
        <v>3</v>
      </c>
      <c r="B14" s="276">
        <v>0</v>
      </c>
      <c r="C14" s="128">
        <v>100</v>
      </c>
      <c r="D14" s="277">
        <f>IF(C14&gt;1000,(C14-1000)*$F$40/100+1000*$F$39/100+$F$36,C14*$F$39/100+$F$36)</f>
        <v>42.000586695568316</v>
      </c>
      <c r="E14" s="278">
        <f>IF($C14&gt;1000,($C14-1000)*$F$43/100+1000*$F$42/100,$C14*$F$42/100)</f>
        <v>3.536</v>
      </c>
      <c r="F14" s="278">
        <f>+$C14*$F$44/100</f>
        <v>0.215</v>
      </c>
      <c r="G14" s="278">
        <f>+$C14*$F$45/100</f>
        <v>6.2E-2</v>
      </c>
      <c r="H14" s="278">
        <f>$C14*$F$47/100</f>
        <v>8.900000000000001E-2</v>
      </c>
      <c r="I14" s="278">
        <f>$C14*$F$46/100</f>
        <v>0.43</v>
      </c>
      <c r="J14" s="278">
        <f>$C14*$F$48/100</f>
        <v>0.65799999999999992</v>
      </c>
      <c r="K14" s="278">
        <f>+C14*$F$49/100</f>
        <v>0</v>
      </c>
      <c r="L14" s="278">
        <f>+SUM(D14:K14)*0.025641</f>
        <v>1.2048856334610674</v>
      </c>
      <c r="M14" s="278">
        <f>SUM(D14:L14)</f>
        <v>48.195472329029386</v>
      </c>
      <c r="N14" s="277">
        <f>IF($C14&gt;1000,($C14-1000)*$I$40/100+1000*$I$39/100+$I$36,$C14*$I$39/100+$I$36)</f>
        <v>43.674999999999997</v>
      </c>
      <c r="O14" s="278">
        <f>IF($C14&gt;1000,($C14-1000)*$I$43/100+1000*$I$42/100,$C14*$I$42/100)</f>
        <v>3.536</v>
      </c>
      <c r="P14" s="278">
        <f>+$C14*$I$44/100</f>
        <v>0.215</v>
      </c>
      <c r="Q14" s="278">
        <f>+$C14*$I$45/100</f>
        <v>6.2E-2</v>
      </c>
      <c r="R14" s="278">
        <f>$C14*$I$47/100</f>
        <v>8.900000000000001E-2</v>
      </c>
      <c r="S14" s="278">
        <f>$C14*$I$46/100</f>
        <v>0.43</v>
      </c>
      <c r="T14" s="278">
        <f>$C14*$I$48/100</f>
        <v>0.65799999999999992</v>
      </c>
      <c r="U14" s="278">
        <f>+SUM(N14:T14)*0.025641</f>
        <v>1.247819265</v>
      </c>
      <c r="V14" s="278">
        <f>SUM(N14:U14)</f>
        <v>49.912819264999996</v>
      </c>
      <c r="W14" s="277">
        <f>+V14-M14</f>
        <v>1.7173469359706104</v>
      </c>
      <c r="X14" s="280">
        <f>+W14/M14</f>
        <v>3.5632951664968077E-2</v>
      </c>
      <c r="Y14" s="284">
        <f>+M14/C14*100</f>
        <v>48.195472329029386</v>
      </c>
      <c r="Z14" s="285">
        <f>+V14/C14*100</f>
        <v>49.912819264999996</v>
      </c>
    </row>
    <row r="15" spans="1:26" x14ac:dyDescent="0.2">
      <c r="A15" s="120">
        <v>4</v>
      </c>
      <c r="B15" s="276"/>
      <c r="C15" s="128"/>
      <c r="D15" s="277"/>
      <c r="E15" s="278"/>
      <c r="F15" s="278"/>
      <c r="G15" s="278"/>
      <c r="H15" s="278"/>
      <c r="I15" s="278"/>
      <c r="J15" s="278"/>
      <c r="K15" s="278"/>
      <c r="L15" s="278"/>
      <c r="M15" s="278"/>
      <c r="N15" s="277"/>
      <c r="O15" s="278"/>
      <c r="P15" s="278"/>
      <c r="Q15" s="278"/>
      <c r="R15" s="278"/>
      <c r="S15" s="278"/>
      <c r="T15" s="278"/>
      <c r="U15" s="278"/>
      <c r="V15" s="278"/>
      <c r="W15" s="277"/>
      <c r="X15" s="280"/>
      <c r="Y15" s="284"/>
      <c r="Z15" s="285"/>
    </row>
    <row r="16" spans="1:26" x14ac:dyDescent="0.2">
      <c r="A16" s="120">
        <v>5</v>
      </c>
      <c r="B16" s="276">
        <v>0</v>
      </c>
      <c r="C16" s="128">
        <v>250</v>
      </c>
      <c r="D16" s="277">
        <f>IF(C16&gt;1000,(C16-1000)*$F$40/100+1000*$F$39/100+$F$36,C16*$F$39/100+$F$36)</f>
        <v>53.92160029312079</v>
      </c>
      <c r="E16" s="278">
        <f>IF($C16&gt;1000,($C16-1000)*$F$43/100+1000*$F$42/100,$C16*$F$42/100)</f>
        <v>8.8400000000000016</v>
      </c>
      <c r="F16" s="278">
        <f>+$C16*$F$44/100</f>
        <v>0.53749999999999998</v>
      </c>
      <c r="G16" s="278">
        <f>+$C16*$F$45/100</f>
        <v>0.155</v>
      </c>
      <c r="H16" s="278">
        <f>$C16*$F$47/100</f>
        <v>0.2225</v>
      </c>
      <c r="I16" s="278">
        <f>$C16*$F$46/100</f>
        <v>1.075</v>
      </c>
      <c r="J16" s="278">
        <f>$C16*$F$48/100</f>
        <v>1.645</v>
      </c>
      <c r="K16" s="278">
        <f>+C16*$F$49/100</f>
        <v>0</v>
      </c>
      <c r="L16" s="278">
        <f>+SUM(D16:K16)*0.025641</f>
        <v>1.7024752281159101</v>
      </c>
      <c r="M16" s="278">
        <f>SUM(D16:L16)</f>
        <v>68.099075521236699</v>
      </c>
      <c r="N16" s="277">
        <f>IF($C16&gt;1000,($C16-1000)*$I$40/100+1000*$I$39/100+$I$36,$C16*$I$39/100+$I$36)</f>
        <v>56.087499999999999</v>
      </c>
      <c r="O16" s="278">
        <f>IF($C16&gt;1000,($C16-1000)*$I$43/100+1000*$I$42/100,$C16*$I$42/100)</f>
        <v>8.8400000000000016</v>
      </c>
      <c r="P16" s="278">
        <f>+$C16*$I$44/100</f>
        <v>0.53749999999999998</v>
      </c>
      <c r="Q16" s="278">
        <f>+$C16*$I$45/100</f>
        <v>0.155</v>
      </c>
      <c r="R16" s="278">
        <f>$C16*$I$47/100</f>
        <v>0.2225</v>
      </c>
      <c r="S16" s="278">
        <f>$C16*$I$46/100</f>
        <v>1.075</v>
      </c>
      <c r="T16" s="278">
        <f>$C16*$I$48/100</f>
        <v>1.645</v>
      </c>
      <c r="U16" s="278">
        <f>+SUM(N16:T16)*0.025641</f>
        <v>1.7580110624999996</v>
      </c>
      <c r="V16" s="278">
        <f>SUM(N16:U16)</f>
        <v>70.320511062499989</v>
      </c>
      <c r="W16" s="277">
        <f>+V16-M16</f>
        <v>2.2214355412632898</v>
      </c>
      <c r="X16" s="280">
        <f>+W16/M16</f>
        <v>3.2620641679203637E-2</v>
      </c>
      <c r="Y16" s="284">
        <f>+M16/C16*100</f>
        <v>27.239630208494681</v>
      </c>
      <c r="Z16" s="285">
        <f>+V16/C16*100</f>
        <v>28.128204424999996</v>
      </c>
    </row>
    <row r="17" spans="1:26" x14ac:dyDescent="0.2">
      <c r="A17" s="120">
        <v>6</v>
      </c>
      <c r="B17" s="276"/>
      <c r="C17" s="128"/>
      <c r="D17" s="277"/>
      <c r="E17" s="278"/>
      <c r="F17" s="278"/>
      <c r="G17" s="278"/>
      <c r="H17" s="278"/>
      <c r="I17" s="278"/>
      <c r="J17" s="278"/>
      <c r="K17" s="278"/>
      <c r="L17" s="278"/>
      <c r="M17" s="278"/>
      <c r="N17" s="277"/>
      <c r="O17" s="278"/>
      <c r="P17" s="278"/>
      <c r="Q17" s="278"/>
      <c r="R17" s="278"/>
      <c r="S17" s="278"/>
      <c r="T17" s="278"/>
      <c r="U17" s="278"/>
      <c r="V17" s="278"/>
      <c r="W17" s="277"/>
      <c r="X17" s="280"/>
      <c r="Y17" s="284"/>
      <c r="Z17" s="285"/>
    </row>
    <row r="18" spans="1:26" x14ac:dyDescent="0.2">
      <c r="A18" s="120">
        <v>7</v>
      </c>
      <c r="B18" s="276">
        <v>0</v>
      </c>
      <c r="C18" s="128">
        <v>500</v>
      </c>
      <c r="D18" s="277">
        <f>IF(C18&gt;1000,(C18-1000)*$F$40/100+1000*$F$39/100+$F$36,C18*$F$39/100+$F$36)</f>
        <v>73.789956289041569</v>
      </c>
      <c r="E18" s="278">
        <f>IF($C18&gt;1000,($C18-1000)*$F$43/100+1000*$F$42/100,$C18*$F$42/100)</f>
        <v>17.680000000000003</v>
      </c>
      <c r="F18" s="278">
        <f>+$C18*$F$44/100</f>
        <v>1.075</v>
      </c>
      <c r="G18" s="278">
        <f>+$C18*$F$45/100</f>
        <v>0.31</v>
      </c>
      <c r="H18" s="278">
        <f>$C18*$F$47/100</f>
        <v>0.44500000000000001</v>
      </c>
      <c r="I18" s="278">
        <f>$C18*$F$46/100</f>
        <v>2.15</v>
      </c>
      <c r="J18" s="278">
        <f>$C18*$F$48/100</f>
        <v>3.29</v>
      </c>
      <c r="K18" s="278">
        <f>+C18*$F$49/100</f>
        <v>0</v>
      </c>
      <c r="L18" s="278">
        <f>+SUM(D18:K18)*0.025641</f>
        <v>2.5317912192073155</v>
      </c>
      <c r="M18" s="278">
        <f>SUM(D18:L18)</f>
        <v>101.27174750824891</v>
      </c>
      <c r="N18" s="277">
        <f>IF($C18&gt;1000,($C18-1000)*$I$40/100+1000*$I$39/100+$I$36,$C18*$I$39/100+$I$36)</f>
        <v>76.775000000000006</v>
      </c>
      <c r="O18" s="278">
        <f>IF($C18&gt;1000,($C18-1000)*$I$43/100+1000*$I$42/100,$C18*$I$42/100)</f>
        <v>17.680000000000003</v>
      </c>
      <c r="P18" s="278">
        <f>+$C18*$I$44/100</f>
        <v>1.075</v>
      </c>
      <c r="Q18" s="278">
        <f>+$C18*$I$45/100</f>
        <v>0.31</v>
      </c>
      <c r="R18" s="278">
        <f>$C18*$I$47/100</f>
        <v>0.44500000000000001</v>
      </c>
      <c r="S18" s="278">
        <f>$C18*$I$46/100</f>
        <v>2.15</v>
      </c>
      <c r="T18" s="278">
        <f>$C18*$I$48/100</f>
        <v>3.29</v>
      </c>
      <c r="U18" s="278">
        <f>+SUM(N18:T18)*0.025641</f>
        <v>2.6083307250000005</v>
      </c>
      <c r="V18" s="278">
        <f>SUM(N18:U18)</f>
        <v>104.33333072500002</v>
      </c>
      <c r="W18" s="277">
        <f>+V18-M18</f>
        <v>3.0615832167511172</v>
      </c>
      <c r="X18" s="280">
        <f>+W18/M18</f>
        <v>3.0231365529677874E-2</v>
      </c>
      <c r="Y18" s="284">
        <f>+M18/C18*100</f>
        <v>20.254349501649781</v>
      </c>
      <c r="Z18" s="285">
        <f>+V18/C18*100</f>
        <v>20.866666145000003</v>
      </c>
    </row>
    <row r="19" spans="1:26" x14ac:dyDescent="0.2">
      <c r="A19" s="120">
        <v>8</v>
      </c>
      <c r="B19" s="276"/>
      <c r="C19" s="128"/>
      <c r="D19" s="277"/>
      <c r="E19" s="278"/>
      <c r="F19" s="278"/>
      <c r="G19" s="278"/>
      <c r="H19" s="278"/>
      <c r="I19" s="278"/>
      <c r="J19" s="278"/>
      <c r="K19" s="278"/>
      <c r="L19" s="278"/>
      <c r="M19" s="278"/>
      <c r="N19" s="277"/>
      <c r="O19" s="278"/>
      <c r="P19" s="278"/>
      <c r="Q19" s="278"/>
      <c r="R19" s="278"/>
      <c r="S19" s="278"/>
      <c r="T19" s="278"/>
      <c r="U19" s="278"/>
      <c r="V19" s="278"/>
      <c r="W19" s="277"/>
      <c r="X19" s="280"/>
      <c r="Y19" s="284"/>
      <c r="Z19" s="285"/>
    </row>
    <row r="20" spans="1:26" x14ac:dyDescent="0.2">
      <c r="A20" s="120">
        <v>9</v>
      </c>
      <c r="B20" s="276">
        <v>0</v>
      </c>
      <c r="C20" s="128">
        <v>750</v>
      </c>
      <c r="D20" s="277">
        <f>IF(C20&gt;1000,(C20-1000)*$F$40/100+1000*$F$39/100+$F$36,C20*$F$39/100+$F$36)</f>
        <v>93.658312284962349</v>
      </c>
      <c r="E20" s="278">
        <f>IF($C20&gt;1000,($C20-1000)*$F$43/100+1000*$F$42/100,$C20*$F$42/100)</f>
        <v>26.520000000000003</v>
      </c>
      <c r="F20" s="278">
        <f>+$C20*$F$44/100</f>
        <v>1.6125</v>
      </c>
      <c r="G20" s="278">
        <f>+$C20*$F$45/100</f>
        <v>0.46500000000000002</v>
      </c>
      <c r="H20" s="278">
        <f>$C20*$F$47/100</f>
        <v>0.66749999999999998</v>
      </c>
      <c r="I20" s="278">
        <f>$C20*$F$46/100</f>
        <v>3.2250000000000001</v>
      </c>
      <c r="J20" s="278">
        <f>$C20*$F$48/100</f>
        <v>4.9349999999999996</v>
      </c>
      <c r="K20" s="278">
        <f>+C20*$F$49/100</f>
        <v>0</v>
      </c>
      <c r="L20" s="278">
        <f>+SUM(D20:K20)*0.025641</f>
        <v>3.3611072102987194</v>
      </c>
      <c r="M20" s="278">
        <f>SUM(D20:L20)</f>
        <v>134.44441949526106</v>
      </c>
      <c r="N20" s="277">
        <f>IF($C20&gt;1000,($C20-1000)*$I$40/100+1000*$I$39/100+$I$36,$C20*$I$39/100+$I$36)</f>
        <v>97.462500000000006</v>
      </c>
      <c r="O20" s="278">
        <f>IF($C20&gt;1000,($C20-1000)*$I$43/100+1000*$I$42/100,$C20*$I$42/100)</f>
        <v>26.520000000000003</v>
      </c>
      <c r="P20" s="278">
        <f>+$C20*$I$44/100</f>
        <v>1.6125</v>
      </c>
      <c r="Q20" s="278">
        <f>+$C20*$I$45/100</f>
        <v>0.46500000000000002</v>
      </c>
      <c r="R20" s="278">
        <f>$C20*$I$47/100</f>
        <v>0.66749999999999998</v>
      </c>
      <c r="S20" s="278">
        <f>$C20*$I$46/100</f>
        <v>3.2250000000000001</v>
      </c>
      <c r="T20" s="278">
        <f>$C20*$I$48/100</f>
        <v>4.9349999999999996</v>
      </c>
      <c r="U20" s="278">
        <f>+SUM(N20:T20)*0.025641</f>
        <v>3.4586503875000005</v>
      </c>
      <c r="V20" s="278">
        <f>SUM(N20:U20)</f>
        <v>138.34615038750002</v>
      </c>
      <c r="W20" s="277">
        <f>+V20-M20</f>
        <v>3.9017308922389589</v>
      </c>
      <c r="X20" s="280">
        <f>+W20/M20</f>
        <v>2.9021144253417588E-2</v>
      </c>
      <c r="Y20" s="284">
        <f>+M20/C20*100</f>
        <v>17.925922599368143</v>
      </c>
      <c r="Z20" s="285">
        <f>+V20/C20*100</f>
        <v>18.446153385000002</v>
      </c>
    </row>
    <row r="21" spans="1:26" x14ac:dyDescent="0.2">
      <c r="A21" s="120">
        <v>10</v>
      </c>
      <c r="B21" s="276"/>
      <c r="C21" s="128"/>
      <c r="D21" s="277"/>
      <c r="E21" s="278"/>
      <c r="F21" s="278"/>
      <c r="G21" s="278"/>
      <c r="H21" s="278"/>
      <c r="I21" s="278"/>
      <c r="J21" s="278"/>
      <c r="K21" s="278"/>
      <c r="L21" s="278"/>
      <c r="M21" s="278"/>
      <c r="N21" s="277"/>
      <c r="O21" s="278"/>
      <c r="P21" s="278"/>
      <c r="Q21" s="278"/>
      <c r="R21" s="278"/>
      <c r="S21" s="278"/>
      <c r="T21" s="278"/>
      <c r="U21" s="278"/>
      <c r="V21" s="278"/>
      <c r="W21" s="277"/>
      <c r="X21" s="280"/>
      <c r="Y21" s="284"/>
      <c r="Z21" s="285"/>
    </row>
    <row r="22" spans="1:26" x14ac:dyDescent="0.2">
      <c r="A22" s="120">
        <v>11</v>
      </c>
      <c r="B22" s="276">
        <v>0</v>
      </c>
      <c r="C22" s="128">
        <v>1000</v>
      </c>
      <c r="D22" s="277">
        <f>IF(C22&gt;1000,(C22-1000)*$F$40/100+1000*$F$39/100+$F$36,C22*$F$39/100+$F$36)</f>
        <v>113.52666828088314</v>
      </c>
      <c r="E22" s="278">
        <f>IF($C22&gt;1000,($C22-1000)*$F$43/100+1000*$F$42/100,$C22*$F$42/100)</f>
        <v>35.360000000000007</v>
      </c>
      <c r="F22" s="278">
        <f>+$C22*$F$44/100</f>
        <v>2.15</v>
      </c>
      <c r="G22" s="278">
        <f>+$C22*$F$45/100</f>
        <v>0.62</v>
      </c>
      <c r="H22" s="278">
        <f>$C22*$F$47/100</f>
        <v>0.89</v>
      </c>
      <c r="I22" s="278">
        <f>$C22*$F$46/100</f>
        <v>4.3</v>
      </c>
      <c r="J22" s="278">
        <f>$C22*$F$48/100</f>
        <v>6.58</v>
      </c>
      <c r="K22" s="278">
        <f>+C22*$F$49/100</f>
        <v>0</v>
      </c>
      <c r="L22" s="278">
        <f>+SUM(D22:K22)*0.025641</f>
        <v>4.1904232013901259</v>
      </c>
      <c r="M22" s="278">
        <f>SUM(D22:L22)</f>
        <v>167.61709148227331</v>
      </c>
      <c r="N22" s="277">
        <f>IF($C22&gt;1000,($C22-1000)*$I$40/100+1000*$I$39/100+$I$36,$C22*$I$39/100+$I$36)</f>
        <v>118.15</v>
      </c>
      <c r="O22" s="278">
        <f>IF($C22&gt;1000,($C22-1000)*$I$43/100+1000*$I$42/100,$C22*$I$42/100)</f>
        <v>35.360000000000007</v>
      </c>
      <c r="P22" s="278">
        <f>+$C22*$I$44/100</f>
        <v>2.15</v>
      </c>
      <c r="Q22" s="278">
        <f>+$C22*$I$45/100</f>
        <v>0.62</v>
      </c>
      <c r="R22" s="278">
        <f>$C22*$I$47/100</f>
        <v>0.89</v>
      </c>
      <c r="S22" s="278">
        <f>$C22*$I$46/100</f>
        <v>4.3</v>
      </c>
      <c r="T22" s="278">
        <f>$C22*$I$48/100</f>
        <v>6.58</v>
      </c>
      <c r="U22" s="278">
        <f>+SUM(N22:T22)*0.025641</f>
        <v>4.308970050000001</v>
      </c>
      <c r="V22" s="278">
        <f>SUM(N22:U22)</f>
        <v>172.35897005000004</v>
      </c>
      <c r="W22" s="277">
        <f>+V22-M22</f>
        <v>4.7418785677267294</v>
      </c>
      <c r="X22" s="280">
        <f>+W22/M22</f>
        <v>2.8289946602660244E-2</v>
      </c>
      <c r="Y22" s="284">
        <f>+M22/C22*100</f>
        <v>16.761709148227329</v>
      </c>
      <c r="Z22" s="285">
        <f>+V22/C22*100</f>
        <v>17.235897005000002</v>
      </c>
    </row>
    <row r="23" spans="1:26" x14ac:dyDescent="0.2">
      <c r="A23" s="120">
        <v>12</v>
      </c>
      <c r="B23" s="276"/>
      <c r="C23" s="128"/>
      <c r="D23" s="277"/>
      <c r="E23" s="278"/>
      <c r="F23" s="278"/>
      <c r="G23" s="278"/>
      <c r="H23" s="278"/>
      <c r="I23" s="278"/>
      <c r="J23" s="278"/>
      <c r="K23" s="278"/>
      <c r="L23" s="278"/>
      <c r="M23" s="278"/>
      <c r="N23" s="277"/>
      <c r="O23" s="278"/>
      <c r="P23" s="278"/>
      <c r="Q23" s="278"/>
      <c r="R23" s="278"/>
      <c r="S23" s="278"/>
      <c r="T23" s="278"/>
      <c r="U23" s="278"/>
      <c r="V23" s="278"/>
      <c r="W23" s="277"/>
      <c r="X23" s="280"/>
      <c r="Y23" s="284"/>
      <c r="Z23" s="285"/>
    </row>
    <row r="24" spans="1:26" x14ac:dyDescent="0.2">
      <c r="A24" s="120">
        <v>13</v>
      </c>
      <c r="B24" s="276">
        <v>0</v>
      </c>
      <c r="C24" s="128">
        <v>1250</v>
      </c>
      <c r="D24" s="277">
        <f>IF(C24&gt;1000,(C24-1000)*$F$40/100+1000*$F$39/100+$F$36,C24*$F$39/100+$F$36)</f>
        <v>135.89502427680392</v>
      </c>
      <c r="E24" s="278">
        <f>IF($C24&gt;1000,($C24-1000)*$F$43/100+1000*$F$42/100,$C24*$F$42/100)</f>
        <v>46.7</v>
      </c>
      <c r="F24" s="278">
        <f>+$C24*$F$44/100</f>
        <v>2.6875</v>
      </c>
      <c r="G24" s="278">
        <f>+$C24*$F$45/100</f>
        <v>0.77500000000000002</v>
      </c>
      <c r="H24" s="278">
        <f>$C24*$F$47/100</f>
        <v>1.1125</v>
      </c>
      <c r="I24" s="278">
        <f>$C24*$F$46/100</f>
        <v>5.375</v>
      </c>
      <c r="J24" s="278">
        <f>$C24*$F$48/100</f>
        <v>8.2249999999999996</v>
      </c>
      <c r="K24" s="278">
        <f>+C24*$F$49/100</f>
        <v>0</v>
      </c>
      <c r="L24" s="278">
        <f>+SUM(D24:K24)*0.025641</f>
        <v>5.1479441924815301</v>
      </c>
      <c r="M24" s="278">
        <f>SUM(D24:L24)</f>
        <v>205.91796846928548</v>
      </c>
      <c r="N24" s="277">
        <f>IF($C24&gt;1000,($C24-1000)*$I$40/100+1000*$I$39/100+$I$36,$C24*$I$39/100+$I$36)</f>
        <v>141.33750000000001</v>
      </c>
      <c r="O24" s="278">
        <f>IF($C24&gt;1000,($C24-1000)*$I$43/100+1000*$I$42/100,$C24*$I$42/100)</f>
        <v>46.7</v>
      </c>
      <c r="P24" s="278">
        <f>+$C24*$I$44/100</f>
        <v>2.6875</v>
      </c>
      <c r="Q24" s="278">
        <f>+$C24*$I$45/100</f>
        <v>0.77500000000000002</v>
      </c>
      <c r="R24" s="278">
        <f>$C24*$I$47/100</f>
        <v>1.1125</v>
      </c>
      <c r="S24" s="278">
        <f>$C24*$I$46/100</f>
        <v>5.375</v>
      </c>
      <c r="T24" s="278">
        <f>$C24*$I$48/100</f>
        <v>8.2249999999999996</v>
      </c>
      <c r="U24" s="278">
        <f>+SUM(N24:T24)*0.025641</f>
        <v>5.2874947125000009</v>
      </c>
      <c r="V24" s="278">
        <f>SUM(N24:U24)</f>
        <v>211.49999471250004</v>
      </c>
      <c r="W24" s="277">
        <f>+V24-M24</f>
        <v>5.5820262432145569</v>
      </c>
      <c r="X24" s="280">
        <f>+W24/M24</f>
        <v>2.7108009488968739E-2</v>
      </c>
      <c r="Y24" s="284">
        <f>+M24/C24*100</f>
        <v>16.473437477542838</v>
      </c>
      <c r="Z24" s="285">
        <f>+V24/C24*100</f>
        <v>16.919999577000002</v>
      </c>
    </row>
    <row r="25" spans="1:26" x14ac:dyDescent="0.2">
      <c r="A25" s="120">
        <v>14</v>
      </c>
      <c r="B25" s="276"/>
      <c r="C25" s="128"/>
      <c r="D25" s="277"/>
      <c r="E25" s="278"/>
      <c r="F25" s="278"/>
      <c r="G25" s="278"/>
      <c r="H25" s="278"/>
      <c r="I25" s="278"/>
      <c r="J25" s="278"/>
      <c r="K25" s="278"/>
      <c r="L25" s="278"/>
      <c r="M25" s="278"/>
      <c r="N25" s="277"/>
      <c r="O25" s="278"/>
      <c r="P25" s="278"/>
      <c r="Q25" s="278"/>
      <c r="R25" s="278"/>
      <c r="S25" s="278"/>
      <c r="T25" s="278"/>
      <c r="U25" s="278"/>
      <c r="V25" s="278"/>
      <c r="W25" s="277"/>
      <c r="X25" s="280"/>
      <c r="Y25" s="284"/>
      <c r="Z25" s="285"/>
    </row>
    <row r="26" spans="1:26" x14ac:dyDescent="0.2">
      <c r="A26" s="120">
        <v>15</v>
      </c>
      <c r="B26" s="276">
        <v>0</v>
      </c>
      <c r="C26" s="128">
        <v>1500</v>
      </c>
      <c r="D26" s="277">
        <f>IF(C26&gt;1000,(C26-1000)*$F$40/100+1000*$F$39/100+$F$36,C26*$F$39/100+$F$36)</f>
        <v>158.2633802727247</v>
      </c>
      <c r="E26" s="278">
        <f>IF($C26&gt;1000,($C26-1000)*$F$43/100+1000*$F$42/100,$C26*$F$42/100)</f>
        <v>58.040000000000006</v>
      </c>
      <c r="F26" s="278">
        <f>+$C26*$F$44/100</f>
        <v>3.2250000000000001</v>
      </c>
      <c r="G26" s="278">
        <f>+$C26*$F$45/100</f>
        <v>0.93</v>
      </c>
      <c r="H26" s="278">
        <f>$C26*$F$47/100</f>
        <v>1.335</v>
      </c>
      <c r="I26" s="278">
        <f>$C26*$F$46/100</f>
        <v>6.45</v>
      </c>
      <c r="J26" s="278">
        <f>$C26*$F$48/100</f>
        <v>9.8699999999999992</v>
      </c>
      <c r="K26" s="278">
        <f>+C26*$F$49/100</f>
        <v>0</v>
      </c>
      <c r="L26" s="278">
        <f>+SUM(D26:K26)*0.025641</f>
        <v>6.1054651835729352</v>
      </c>
      <c r="M26" s="278">
        <f>SUM(D26:L26)</f>
        <v>244.21884545629766</v>
      </c>
      <c r="N26" s="277">
        <f>IF($C26&gt;1000,($C26-1000)*$I$40/100+1000*$I$39/100+$I$36,$C26*$I$39/100+$I$36)</f>
        <v>164.52500000000001</v>
      </c>
      <c r="O26" s="278">
        <f>IF($C26&gt;1000,($C26-1000)*$I$43/100+1000*$I$42/100,$C26*$I$42/100)</f>
        <v>58.040000000000006</v>
      </c>
      <c r="P26" s="278">
        <f>+$C26*$I$44/100</f>
        <v>3.2250000000000001</v>
      </c>
      <c r="Q26" s="278">
        <f>+$C26*$I$45/100</f>
        <v>0.93</v>
      </c>
      <c r="R26" s="278">
        <f>$C26*$I$47/100</f>
        <v>1.335</v>
      </c>
      <c r="S26" s="278">
        <f>$C26*$I$46/100</f>
        <v>6.45</v>
      </c>
      <c r="T26" s="278">
        <f>$C26*$I$48/100</f>
        <v>9.8699999999999992</v>
      </c>
      <c r="U26" s="278">
        <f>+SUM(N26:T26)*0.025641</f>
        <v>6.2660193749999999</v>
      </c>
      <c r="V26" s="278">
        <f>SUM(N26:U26)</f>
        <v>250.64101937500001</v>
      </c>
      <c r="W26" s="277">
        <f>+V26-M26</f>
        <v>6.4221739187023559</v>
      </c>
      <c r="X26" s="280">
        <f>+W26/M26</f>
        <v>2.6296799113529459E-2</v>
      </c>
      <c r="Y26" s="284">
        <f>+M26/C26*100</f>
        <v>16.281256363753176</v>
      </c>
      <c r="Z26" s="285">
        <f>+V26/C26*100</f>
        <v>16.709401291666666</v>
      </c>
    </row>
    <row r="27" spans="1:26" x14ac:dyDescent="0.2">
      <c r="A27" s="120">
        <v>16</v>
      </c>
      <c r="B27" s="276"/>
      <c r="C27" s="128"/>
      <c r="D27" s="277"/>
      <c r="E27" s="278"/>
      <c r="F27" s="278"/>
      <c r="G27" s="278"/>
      <c r="H27" s="278"/>
      <c r="I27" s="278"/>
      <c r="J27" s="278"/>
      <c r="K27" s="278"/>
      <c r="L27" s="278"/>
      <c r="M27" s="278"/>
      <c r="N27" s="277"/>
      <c r="O27" s="278"/>
      <c r="P27" s="278"/>
      <c r="Q27" s="278"/>
      <c r="R27" s="278"/>
      <c r="S27" s="278"/>
      <c r="T27" s="278"/>
      <c r="U27" s="278"/>
      <c r="V27" s="278"/>
      <c r="W27" s="277"/>
      <c r="X27" s="280"/>
      <c r="Y27" s="284"/>
      <c r="Z27" s="285"/>
    </row>
    <row r="28" spans="1:26" x14ac:dyDescent="0.2">
      <c r="A28" s="120">
        <v>17</v>
      </c>
      <c r="B28" s="276">
        <v>0</v>
      </c>
      <c r="C28" s="128">
        <v>2000</v>
      </c>
      <c r="D28" s="277">
        <f>IF(C28&gt;1000,(C28-1000)*$F$40/100+1000*$F$39/100+$F$36,C28*$F$39/100+$F$36)</f>
        <v>203.00009226456626</v>
      </c>
      <c r="E28" s="278">
        <f>IF($C28&gt;1000,($C28-1000)*$F$43/100+1000*$F$42/100,$C28*$F$42/100)</f>
        <v>80.72</v>
      </c>
      <c r="F28" s="278">
        <f>+$C28*$F$44/100</f>
        <v>4.3</v>
      </c>
      <c r="G28" s="278">
        <f>+$C28*$F$45/100</f>
        <v>1.24</v>
      </c>
      <c r="H28" s="278">
        <f>$C28*$F$47/100</f>
        <v>1.78</v>
      </c>
      <c r="I28" s="278">
        <f>$C28*$F$46/100</f>
        <v>8.6</v>
      </c>
      <c r="J28" s="278">
        <f>$C28*$F$48/100</f>
        <v>13.16</v>
      </c>
      <c r="K28" s="278">
        <f>+C28*$F$49/100</f>
        <v>0</v>
      </c>
      <c r="L28" s="278">
        <f>+SUM(D28:K28)*0.025641</f>
        <v>8.0205071657557436</v>
      </c>
      <c r="M28" s="278">
        <f>SUM(D28:L28)</f>
        <v>320.82059943032203</v>
      </c>
      <c r="N28" s="277">
        <f>IF($C28&gt;1000,($C28-1000)*$I$40/100+1000*$I$39/100+$I$36,$C28*$I$39/100+$I$36)</f>
        <v>210.9</v>
      </c>
      <c r="O28" s="278">
        <f>IF($C28&gt;1000,($C28-1000)*$I$43/100+1000*$I$42/100,$C28*$I$42/100)</f>
        <v>80.72</v>
      </c>
      <c r="P28" s="278">
        <f>+$C28*$I$44/100</f>
        <v>4.3</v>
      </c>
      <c r="Q28" s="278">
        <f>+$C28*$I$45/100</f>
        <v>1.24</v>
      </c>
      <c r="R28" s="278">
        <f>$C28*$I$47/100</f>
        <v>1.78</v>
      </c>
      <c r="S28" s="278">
        <f>$C28*$I$46/100</f>
        <v>8.6</v>
      </c>
      <c r="T28" s="278">
        <f>$C28*$I$48/100</f>
        <v>13.16</v>
      </c>
      <c r="U28" s="278">
        <f>+SUM(N28:T28)*0.025641</f>
        <v>8.2230687000000007</v>
      </c>
      <c r="V28" s="278">
        <f>SUM(N28:U28)</f>
        <v>328.92306870000004</v>
      </c>
      <c r="W28" s="277">
        <f>+V28-M28</f>
        <v>8.1024692696780107</v>
      </c>
      <c r="X28" s="280">
        <f>+W28/M28</f>
        <v>2.5255452062821045E-2</v>
      </c>
      <c r="Y28" s="284">
        <f>+M28/C28*100</f>
        <v>16.041029971516103</v>
      </c>
      <c r="Z28" s="285">
        <f>+V28/C28*100</f>
        <v>16.446153435000003</v>
      </c>
    </row>
    <row r="29" spans="1:26" x14ac:dyDescent="0.2">
      <c r="A29" s="120">
        <v>18</v>
      </c>
      <c r="B29" s="276"/>
      <c r="C29" s="128"/>
      <c r="D29" s="277"/>
      <c r="E29" s="278"/>
      <c r="F29" s="278"/>
      <c r="G29" s="278"/>
      <c r="H29" s="278"/>
      <c r="I29" s="278"/>
      <c r="J29" s="278"/>
      <c r="K29" s="278"/>
      <c r="L29" s="278"/>
      <c r="M29" s="278"/>
      <c r="N29" s="277"/>
      <c r="O29" s="278"/>
      <c r="P29" s="278"/>
      <c r="Q29" s="278"/>
      <c r="R29" s="278"/>
      <c r="S29" s="278"/>
      <c r="T29" s="278"/>
      <c r="U29" s="278"/>
      <c r="V29" s="278"/>
      <c r="W29" s="277"/>
      <c r="X29" s="280"/>
      <c r="Y29" s="284"/>
      <c r="Z29" s="285"/>
    </row>
    <row r="30" spans="1:26" x14ac:dyDescent="0.2">
      <c r="A30" s="120">
        <v>19</v>
      </c>
      <c r="B30" s="276">
        <v>0</v>
      </c>
      <c r="C30" s="128">
        <v>3000</v>
      </c>
      <c r="D30" s="277">
        <f>IF(C30&gt;1000,(C30-1000)*$F$40/100+1000*$F$39/100+$F$36,C30*$F$39/100+$F$36)</f>
        <v>292.47351624824944</v>
      </c>
      <c r="E30" s="278">
        <f>IF($C30&gt;1000,($C30-1000)*$F$43/100+1000*$F$42/100,$C30*$F$42/100)</f>
        <v>126.08000000000001</v>
      </c>
      <c r="F30" s="278">
        <f>+$C30*$F$44/100</f>
        <v>6.45</v>
      </c>
      <c r="G30" s="278">
        <f>+$C30*$F$45/100</f>
        <v>1.86</v>
      </c>
      <c r="H30" s="278">
        <f>$C30*$F$47/100</f>
        <v>2.67</v>
      </c>
      <c r="I30" s="278">
        <f>$C30*$F$46/100</f>
        <v>12.9</v>
      </c>
      <c r="J30" s="278">
        <f>$C30*$F$48/100</f>
        <v>19.739999999999998</v>
      </c>
      <c r="K30" s="278">
        <f>+C30*$F$49/100</f>
        <v>0</v>
      </c>
      <c r="L30" s="278">
        <f>+SUM(D30:K30)*0.025641</f>
        <v>11.850591130121366</v>
      </c>
      <c r="M30" s="278">
        <f>SUM(D30:L30)</f>
        <v>474.02410737837084</v>
      </c>
      <c r="N30" s="277">
        <f>IF($C30&gt;1000,($C30-1000)*$I$40/100+1000*$I$39/100+$I$36,$C30*$I$39/100+$I$36)</f>
        <v>303.64999999999998</v>
      </c>
      <c r="O30" s="278">
        <f>IF($C30&gt;1000,($C30-1000)*$I$43/100+1000*$I$42/100,$C30*$I$42/100)</f>
        <v>126.08000000000001</v>
      </c>
      <c r="P30" s="278">
        <f>+$C30*$I$44/100</f>
        <v>6.45</v>
      </c>
      <c r="Q30" s="278">
        <f>+$C30*$I$45/100</f>
        <v>1.86</v>
      </c>
      <c r="R30" s="278">
        <f>$C30*$I$47/100</f>
        <v>2.67</v>
      </c>
      <c r="S30" s="278">
        <f>$C30*$I$46/100</f>
        <v>12.9</v>
      </c>
      <c r="T30" s="278">
        <f>$C30*$I$48/100</f>
        <v>19.739999999999998</v>
      </c>
      <c r="U30" s="278">
        <f>+SUM(N30:T30)*0.025641</f>
        <v>12.13716735</v>
      </c>
      <c r="V30" s="278">
        <f>SUM(N30:U30)</f>
        <v>485.48716735000005</v>
      </c>
      <c r="W30" s="277">
        <f>+V30-M30</f>
        <v>11.463059971629207</v>
      </c>
      <c r="X30" s="280">
        <f>+W30/M30</f>
        <v>2.4182440920624479E-2</v>
      </c>
      <c r="Y30" s="284">
        <f>+M30/C30*100</f>
        <v>15.800803579279027</v>
      </c>
      <c r="Z30" s="285">
        <f>+V30/C30*100</f>
        <v>16.182905578333333</v>
      </c>
    </row>
    <row r="31" spans="1:26" x14ac:dyDescent="0.2">
      <c r="A31" s="120">
        <v>20</v>
      </c>
      <c r="B31" s="276"/>
      <c r="C31" s="128"/>
      <c r="D31" s="277"/>
      <c r="E31" s="278"/>
      <c r="F31" s="278"/>
      <c r="G31" s="278"/>
      <c r="H31" s="278"/>
      <c r="I31" s="278"/>
      <c r="J31" s="278"/>
      <c r="K31" s="278"/>
      <c r="L31" s="278"/>
      <c r="M31" s="278"/>
      <c r="N31" s="277"/>
      <c r="O31" s="278"/>
      <c r="P31" s="278"/>
      <c r="Q31" s="278"/>
      <c r="R31" s="278"/>
      <c r="S31" s="278"/>
      <c r="T31" s="278"/>
      <c r="U31" s="278"/>
      <c r="V31" s="278"/>
      <c r="W31" s="277"/>
      <c r="X31" s="280"/>
      <c r="Y31" s="284"/>
      <c r="Z31" s="285"/>
    </row>
    <row r="32" spans="1:26" x14ac:dyDescent="0.2">
      <c r="A32" s="120">
        <v>21</v>
      </c>
      <c r="B32" s="276">
        <v>0</v>
      </c>
      <c r="C32" s="128">
        <v>5000</v>
      </c>
      <c r="D32" s="277">
        <f>IF(C32&gt;1000,(C32-1000)*$F$40/100+1000*$F$39/100+$F$36,C32*$F$39/100+$F$36)</f>
        <v>471.42036421561568</v>
      </c>
      <c r="E32" s="278">
        <f>IF($C32&gt;1000,($C32-1000)*$F$43/100+1000*$F$42/100,$C32*$F$42/100)</f>
        <v>216.8</v>
      </c>
      <c r="F32" s="278">
        <f>+$C32*$F$44/100</f>
        <v>10.75</v>
      </c>
      <c r="G32" s="278">
        <f>+$C32*$F$45/100</f>
        <v>3.1</v>
      </c>
      <c r="H32" s="278">
        <f>$C32*$F$47/100</f>
        <v>4.45</v>
      </c>
      <c r="I32" s="278">
        <f>$C32*$F$46/100</f>
        <v>21.5</v>
      </c>
      <c r="J32" s="278">
        <f>$C32*$F$48/100</f>
        <v>32.9</v>
      </c>
      <c r="K32" s="278">
        <f>+C32*$F$49/100</f>
        <v>0</v>
      </c>
      <c r="L32" s="278">
        <f>+SUM(D32:K32)*0.025641</f>
        <v>19.510759058852607</v>
      </c>
      <c r="M32" s="278">
        <f>SUM(D32:L32)</f>
        <v>780.4311232744684</v>
      </c>
      <c r="N32" s="277">
        <f>IF($C32&gt;1000,($C32-1000)*$I$40/100+1000*$I$39/100+$I$36,$C32*$I$39/100+$I$36)</f>
        <v>489.15</v>
      </c>
      <c r="O32" s="278">
        <f>IF($C32&gt;1000,($C32-1000)*$I$43/100+1000*$I$42/100,$C32*$I$42/100)</f>
        <v>216.8</v>
      </c>
      <c r="P32" s="278">
        <f>+$C32*$I$44/100</f>
        <v>10.75</v>
      </c>
      <c r="Q32" s="278">
        <f>+$C32*$I$45/100</f>
        <v>3.1</v>
      </c>
      <c r="R32" s="278">
        <f>$C32*$I$47/100</f>
        <v>4.45</v>
      </c>
      <c r="S32" s="278">
        <f>$C32*$I$46/100</f>
        <v>21.5</v>
      </c>
      <c r="T32" s="278">
        <f>$C32*$I$48/100</f>
        <v>32.9</v>
      </c>
      <c r="U32" s="278">
        <f>+SUM(N32:T32)*0.025641</f>
        <v>19.965364650000001</v>
      </c>
      <c r="V32" s="278">
        <f>SUM(N32:U32)</f>
        <v>798.61536465000006</v>
      </c>
      <c r="W32" s="277">
        <f>+V32-M32</f>
        <v>18.184241375531656</v>
      </c>
      <c r="X32" s="280">
        <f>+W32/M32</f>
        <v>2.3300251403654583E-2</v>
      </c>
      <c r="Y32" s="284">
        <f>+M32/C32*100</f>
        <v>15.608622465489368</v>
      </c>
      <c r="Z32" s="285">
        <f>+V32/C32*100</f>
        <v>15.972307293000002</v>
      </c>
    </row>
    <row r="33" spans="1:25" x14ac:dyDescent="0.2">
      <c r="A33" s="120">
        <v>22</v>
      </c>
      <c r="B33" s="276"/>
      <c r="C33" s="128"/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80"/>
      <c r="X33" s="285"/>
      <c r="Y33" s="285"/>
    </row>
    <row r="34" spans="1:25" x14ac:dyDescent="0.2">
      <c r="A34" s="120">
        <v>23</v>
      </c>
      <c r="B34" s="276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spans="1:25" x14ac:dyDescent="0.2">
      <c r="A35" s="120">
        <v>24</v>
      </c>
      <c r="B35" s="276"/>
      <c r="C35" s="120"/>
      <c r="D35" s="120"/>
      <c r="E35" s="120"/>
      <c r="F35" s="374" t="s">
        <v>1339</v>
      </c>
      <c r="G35" s="374"/>
      <c r="I35" s="374" t="s">
        <v>1351</v>
      </c>
      <c r="J35" s="374"/>
      <c r="K35" s="120"/>
      <c r="N35" s="113"/>
      <c r="P35" s="128"/>
      <c r="Q35" s="128"/>
      <c r="R35" s="128"/>
      <c r="S35" s="128"/>
      <c r="T35" s="128"/>
      <c r="U35" s="128"/>
      <c r="V35" s="128"/>
      <c r="W35" s="128"/>
      <c r="X35" s="128"/>
      <c r="Y35" s="128"/>
    </row>
    <row r="36" spans="1:25" x14ac:dyDescent="0.2">
      <c r="A36" s="120">
        <v>25</v>
      </c>
      <c r="B36" s="276"/>
      <c r="C36" s="116" t="s">
        <v>1352</v>
      </c>
      <c r="D36" s="120"/>
      <c r="E36" s="120"/>
      <c r="F36" s="286">
        <f>+'2027 RS Rate Class E-13c'!J19*30</f>
        <v>34.053244297200003</v>
      </c>
      <c r="G36" s="116" t="s">
        <v>1353</v>
      </c>
      <c r="H36" s="120"/>
      <c r="I36" s="286">
        <f>ROUND(+'2027 RS Rate Class E-13c'!Q19,2)*30</f>
        <v>35.4</v>
      </c>
      <c r="J36" s="116" t="s">
        <v>1353</v>
      </c>
      <c r="K36" s="116"/>
      <c r="P36" s="128"/>
      <c r="Q36" s="128"/>
      <c r="R36" s="128"/>
      <c r="S36" s="128"/>
      <c r="T36" s="128"/>
      <c r="U36" s="128"/>
      <c r="V36" s="128"/>
      <c r="W36" s="128"/>
      <c r="X36" s="128"/>
      <c r="Y36" s="128"/>
    </row>
    <row r="37" spans="1:25" x14ac:dyDescent="0.2">
      <c r="A37" s="120">
        <v>26</v>
      </c>
      <c r="B37" s="276"/>
      <c r="C37" s="116" t="s">
        <v>1354</v>
      </c>
      <c r="D37" s="120"/>
      <c r="E37" s="120"/>
      <c r="F37" s="286">
        <v>0</v>
      </c>
      <c r="G37" s="116" t="s">
        <v>1355</v>
      </c>
      <c r="H37" s="120"/>
      <c r="I37" s="287">
        <v>0</v>
      </c>
      <c r="J37" s="116" t="s">
        <v>1355</v>
      </c>
      <c r="K37" s="116"/>
      <c r="P37" s="128"/>
      <c r="Q37" s="128"/>
      <c r="R37" s="128"/>
      <c r="S37" s="282"/>
      <c r="T37" s="288"/>
      <c r="U37" s="128"/>
      <c r="V37" s="128"/>
      <c r="W37" s="128"/>
      <c r="X37" s="128"/>
      <c r="Y37" s="128"/>
    </row>
    <row r="38" spans="1:25" x14ac:dyDescent="0.2">
      <c r="A38" s="120">
        <v>27</v>
      </c>
      <c r="B38" s="276"/>
      <c r="C38" s="116" t="s">
        <v>1356</v>
      </c>
      <c r="D38" s="120"/>
      <c r="E38" s="120"/>
      <c r="F38" s="286"/>
      <c r="H38" s="120"/>
      <c r="I38" s="289"/>
      <c r="P38" s="128"/>
      <c r="Q38" s="128"/>
      <c r="R38" s="128"/>
      <c r="S38" s="128"/>
      <c r="T38" s="128"/>
      <c r="U38" s="128"/>
      <c r="V38" s="128"/>
      <c r="W38" s="128"/>
      <c r="X38" s="128"/>
      <c r="Y38" s="128"/>
    </row>
    <row r="39" spans="1:25" x14ac:dyDescent="0.2">
      <c r="A39" s="120">
        <v>28</v>
      </c>
      <c r="B39" s="276"/>
      <c r="C39" s="290" t="s">
        <v>1357</v>
      </c>
      <c r="F39" s="289">
        <f>+'2027 RS Rate Class E-13c'!J27*100</f>
        <v>7.9473423983683134</v>
      </c>
      <c r="G39" s="116" t="s">
        <v>1358</v>
      </c>
      <c r="I39" s="145">
        <f>ROUND(+'2027 RS Rate Class E-13c'!Q27,5)*100</f>
        <v>8.2750000000000004</v>
      </c>
      <c r="J39" s="116" t="s">
        <v>1358</v>
      </c>
      <c r="K39" s="116"/>
      <c r="P39" s="128"/>
      <c r="Q39" s="128"/>
      <c r="R39" s="128"/>
      <c r="S39" s="128"/>
      <c r="T39" s="128"/>
      <c r="U39" s="291"/>
      <c r="V39" s="128"/>
      <c r="W39" s="128"/>
      <c r="X39" s="128"/>
      <c r="Y39" s="128"/>
    </row>
    <row r="40" spans="1:25" x14ac:dyDescent="0.2">
      <c r="A40" s="120">
        <v>29</v>
      </c>
      <c r="B40" s="276"/>
      <c r="C40" s="290" t="s">
        <v>1359</v>
      </c>
      <c r="F40" s="289">
        <f>+'2027 RS Rate Class E-13c'!J28*100</f>
        <v>8.9473423983683134</v>
      </c>
      <c r="G40" s="116" t="s">
        <v>1358</v>
      </c>
      <c r="I40" s="145">
        <f>ROUND(+'2027 RS Rate Class E-13c'!Q28*100,3)</f>
        <v>9.2750000000000004</v>
      </c>
      <c r="J40" s="116" t="s">
        <v>1358</v>
      </c>
      <c r="K40" s="116"/>
      <c r="P40" s="128"/>
      <c r="Q40" s="128"/>
      <c r="R40" s="128"/>
      <c r="S40" s="128"/>
      <c r="T40" s="128"/>
      <c r="U40" s="128"/>
      <c r="V40" s="128"/>
      <c r="W40" s="128"/>
      <c r="X40" s="128"/>
      <c r="Y40" s="128"/>
    </row>
    <row r="41" spans="1:25" x14ac:dyDescent="0.2">
      <c r="A41" s="120">
        <v>30</v>
      </c>
      <c r="B41" s="276"/>
      <c r="C41" s="116" t="s">
        <v>1360</v>
      </c>
      <c r="D41" s="120"/>
      <c r="E41" s="120"/>
      <c r="F41" s="289"/>
      <c r="G41" s="116"/>
      <c r="H41" s="120"/>
      <c r="I41" s="120"/>
      <c r="J41" s="116"/>
      <c r="K41" s="116"/>
      <c r="P41" s="128"/>
      <c r="Q41" s="128"/>
      <c r="R41" s="128"/>
      <c r="S41" s="128"/>
      <c r="T41" s="128"/>
      <c r="U41" s="128"/>
      <c r="V41" s="128"/>
      <c r="W41" s="128"/>
      <c r="X41" s="128"/>
      <c r="Y41" s="128"/>
    </row>
    <row r="42" spans="1:25" x14ac:dyDescent="0.2">
      <c r="A42" s="120">
        <v>31</v>
      </c>
      <c r="B42" s="276"/>
      <c r="C42" s="290" t="s">
        <v>1357</v>
      </c>
      <c r="F42" s="289">
        <v>3.5360000000000005</v>
      </c>
      <c r="G42" s="116" t="s">
        <v>1358</v>
      </c>
      <c r="H42" s="120"/>
      <c r="I42" s="289">
        <f>+F42</f>
        <v>3.5360000000000005</v>
      </c>
      <c r="J42" s="116" t="s">
        <v>1358</v>
      </c>
      <c r="K42" s="116"/>
      <c r="P42" s="128"/>
      <c r="Q42" s="128"/>
      <c r="R42" s="128"/>
      <c r="S42" s="128"/>
      <c r="T42" s="128"/>
      <c r="U42" s="128"/>
      <c r="V42" s="128"/>
      <c r="W42" s="128"/>
      <c r="X42" s="128"/>
      <c r="Y42" s="128"/>
    </row>
    <row r="43" spans="1:25" x14ac:dyDescent="0.2">
      <c r="A43" s="120">
        <v>32</v>
      </c>
      <c r="B43" s="276"/>
      <c r="C43" s="290" t="s">
        <v>1359</v>
      </c>
      <c r="F43" s="289">
        <v>4.5359999999999996</v>
      </c>
      <c r="G43" s="116" t="s">
        <v>1358</v>
      </c>
      <c r="H43" s="120"/>
      <c r="I43" s="289">
        <f t="shared" ref="I43:I48" si="0">+F43</f>
        <v>4.5359999999999996</v>
      </c>
      <c r="J43" s="116" t="s">
        <v>1358</v>
      </c>
      <c r="K43" s="116"/>
      <c r="P43" s="128"/>
      <c r="Q43" s="128"/>
      <c r="R43" s="128"/>
      <c r="S43" s="128"/>
      <c r="T43" s="128"/>
      <c r="U43" s="128"/>
      <c r="V43" s="128"/>
      <c r="W43" s="128"/>
      <c r="X43" s="128"/>
      <c r="Y43" s="128"/>
    </row>
    <row r="44" spans="1:25" x14ac:dyDescent="0.2">
      <c r="A44" s="120">
        <v>33</v>
      </c>
      <c r="B44" s="276"/>
      <c r="C44" s="116" t="s">
        <v>1361</v>
      </c>
      <c r="D44" s="120"/>
      <c r="E44" s="120"/>
      <c r="F44" s="289">
        <v>0.215</v>
      </c>
      <c r="G44" s="116" t="s">
        <v>1358</v>
      </c>
      <c r="H44" s="120"/>
      <c r="I44" s="289">
        <f t="shared" si="0"/>
        <v>0.215</v>
      </c>
      <c r="J44" s="116" t="s">
        <v>1358</v>
      </c>
      <c r="K44" s="116"/>
      <c r="P44" s="128"/>
      <c r="Q44" s="128"/>
      <c r="R44" s="128"/>
      <c r="S44" s="128"/>
      <c r="T44" s="128"/>
      <c r="U44" s="128"/>
      <c r="V44" s="128"/>
      <c r="W44" s="128"/>
      <c r="X44" s="128"/>
      <c r="Y44" s="128"/>
    </row>
    <row r="45" spans="1:25" x14ac:dyDescent="0.2">
      <c r="A45" s="120">
        <v>34</v>
      </c>
      <c r="B45" s="276"/>
      <c r="C45" s="116" t="s">
        <v>1362</v>
      </c>
      <c r="D45" s="120"/>
      <c r="E45" s="120"/>
      <c r="F45" s="289">
        <v>6.2E-2</v>
      </c>
      <c r="G45" s="116" t="s">
        <v>1358</v>
      </c>
      <c r="I45" s="289">
        <f t="shared" si="0"/>
        <v>6.2E-2</v>
      </c>
      <c r="J45" s="116" t="s">
        <v>1358</v>
      </c>
      <c r="K45" s="116"/>
      <c r="P45" s="128"/>
      <c r="Q45" s="128"/>
      <c r="R45" s="128"/>
      <c r="S45" s="128"/>
      <c r="T45" s="128"/>
      <c r="U45" s="128"/>
      <c r="V45" s="128"/>
      <c r="W45" s="128"/>
      <c r="X45" s="128"/>
      <c r="Y45" s="128"/>
    </row>
    <row r="46" spans="1:25" x14ac:dyDescent="0.2">
      <c r="A46" s="120">
        <v>35</v>
      </c>
      <c r="B46" s="276"/>
      <c r="C46" s="116" t="s">
        <v>1363</v>
      </c>
      <c r="D46" s="120"/>
      <c r="E46" s="120"/>
      <c r="F46" s="289">
        <v>0.43</v>
      </c>
      <c r="G46" s="116" t="s">
        <v>1358</v>
      </c>
      <c r="I46" s="289">
        <f t="shared" si="0"/>
        <v>0.43</v>
      </c>
      <c r="J46" s="116" t="s">
        <v>1358</v>
      </c>
      <c r="K46" s="116"/>
      <c r="P46" s="128"/>
      <c r="Q46" s="128"/>
      <c r="R46" s="128"/>
      <c r="S46" s="128"/>
      <c r="T46" s="128"/>
      <c r="U46" s="128"/>
      <c r="V46" s="128"/>
      <c r="W46" s="128"/>
      <c r="X46" s="128"/>
      <c r="Y46" s="128"/>
    </row>
    <row r="47" spans="1:25" x14ac:dyDescent="0.2">
      <c r="A47" s="120">
        <v>36</v>
      </c>
      <c r="B47" s="113"/>
      <c r="C47" s="116" t="s">
        <v>1364</v>
      </c>
      <c r="D47" s="120"/>
      <c r="E47" s="120"/>
      <c r="F47" s="289">
        <v>8.8999999999999996E-2</v>
      </c>
      <c r="G47" s="116" t="s">
        <v>1358</v>
      </c>
      <c r="H47" s="126"/>
      <c r="I47" s="289">
        <f t="shared" si="0"/>
        <v>8.8999999999999996E-2</v>
      </c>
      <c r="J47" s="116" t="s">
        <v>1358</v>
      </c>
      <c r="K47" s="116"/>
      <c r="P47" s="126"/>
      <c r="Q47" s="126"/>
      <c r="R47" s="126"/>
      <c r="S47" s="126"/>
      <c r="T47" s="126"/>
      <c r="U47" s="126"/>
      <c r="V47" s="126"/>
      <c r="W47" s="126"/>
      <c r="X47" s="126"/>
      <c r="Y47" s="126"/>
    </row>
    <row r="48" spans="1:25" x14ac:dyDescent="0.2">
      <c r="A48" s="120">
        <v>37</v>
      </c>
      <c r="B48" s="113"/>
      <c r="C48" s="116" t="s">
        <v>1365</v>
      </c>
      <c r="F48" s="289">
        <v>0.65800000000000003</v>
      </c>
      <c r="G48" s="116" t="s">
        <v>1358</v>
      </c>
      <c r="H48" s="126"/>
      <c r="I48" s="289">
        <f t="shared" si="0"/>
        <v>0.65800000000000003</v>
      </c>
      <c r="J48" s="116" t="s">
        <v>1358</v>
      </c>
      <c r="K48" s="116"/>
      <c r="P48" s="126"/>
      <c r="Q48" s="126"/>
      <c r="R48" s="126"/>
      <c r="S48" s="126"/>
      <c r="T48" s="126"/>
      <c r="U48" s="126"/>
      <c r="V48" s="126"/>
      <c r="W48" s="126"/>
      <c r="X48" s="126"/>
      <c r="Y48" s="126"/>
    </row>
    <row r="49" spans="1:26" x14ac:dyDescent="0.2">
      <c r="A49" s="120">
        <v>38</v>
      </c>
      <c r="B49" s="113"/>
      <c r="C49" s="128" t="s">
        <v>1366</v>
      </c>
      <c r="E49" s="113"/>
      <c r="F49" s="289">
        <v>0</v>
      </c>
      <c r="G49" s="116" t="s">
        <v>1358</v>
      </c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</row>
    <row r="50" spans="1:26" x14ac:dyDescent="0.2">
      <c r="A50" s="120">
        <v>39</v>
      </c>
      <c r="B50" s="113"/>
      <c r="C50" s="128" t="s">
        <v>1367</v>
      </c>
      <c r="E50" s="113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</row>
    <row r="51" spans="1:26" ht="13.5" thickBot="1" x14ac:dyDescent="0.25">
      <c r="A51" s="120">
        <v>42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264"/>
    </row>
    <row r="52" spans="1:26" x14ac:dyDescent="0.2">
      <c r="A52" s="113" t="s">
        <v>1368</v>
      </c>
      <c r="B52" s="113"/>
      <c r="C52" s="113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 t="s">
        <v>1369</v>
      </c>
      <c r="X52" s="113"/>
      <c r="Y52" s="113"/>
    </row>
    <row r="53" spans="1:26" ht="13.5" thickBot="1" x14ac:dyDescent="0.25">
      <c r="A53" s="114" t="s">
        <v>1295</v>
      </c>
      <c r="B53" s="114"/>
      <c r="C53" s="114"/>
      <c r="D53" s="114"/>
      <c r="E53" s="114"/>
      <c r="F53" s="114"/>
      <c r="G53" s="114"/>
      <c r="H53" s="114" t="s">
        <v>1296</v>
      </c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 t="s">
        <v>1370</v>
      </c>
      <c r="Z53" s="264"/>
    </row>
    <row r="54" spans="1:26" x14ac:dyDescent="0.2">
      <c r="A54" s="113" t="s">
        <v>307</v>
      </c>
      <c r="B54" s="113"/>
      <c r="C54" s="113"/>
      <c r="D54" s="113"/>
      <c r="E54" s="113"/>
      <c r="F54" s="113" t="s">
        <v>1298</v>
      </c>
      <c r="G54" s="113"/>
      <c r="H54" s="113" t="s">
        <v>1299</v>
      </c>
      <c r="I54" s="113"/>
      <c r="J54" s="113"/>
      <c r="K54" s="113"/>
      <c r="L54" s="113"/>
      <c r="M54" s="115"/>
      <c r="N54" s="115"/>
      <c r="O54" s="113"/>
      <c r="P54" s="115"/>
      <c r="Q54" s="115"/>
      <c r="R54" s="115"/>
      <c r="S54" s="115"/>
      <c r="T54" s="115"/>
      <c r="U54" s="115"/>
      <c r="V54" s="115" t="s">
        <v>845</v>
      </c>
      <c r="W54" s="113"/>
      <c r="X54" s="113"/>
      <c r="Y54" s="116"/>
    </row>
    <row r="55" spans="1:26" x14ac:dyDescent="0.2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7"/>
      <c r="N55" s="116"/>
      <c r="O55" s="113"/>
      <c r="P55" s="113"/>
      <c r="Q55" s="113"/>
      <c r="R55" s="113"/>
      <c r="S55" s="113"/>
      <c r="T55" s="113"/>
      <c r="U55" s="117"/>
      <c r="V55" s="117" t="s">
        <v>916</v>
      </c>
      <c r="W55" s="116" t="s">
        <v>1512</v>
      </c>
      <c r="X55" s="113"/>
      <c r="Y55" s="117"/>
    </row>
    <row r="56" spans="1:26" x14ac:dyDescent="0.2">
      <c r="A56" s="113" t="s">
        <v>310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7"/>
      <c r="N56" s="116"/>
      <c r="O56" s="117"/>
      <c r="P56" s="113"/>
      <c r="Q56" s="113"/>
      <c r="R56" s="113"/>
      <c r="S56" s="113"/>
      <c r="T56" s="113"/>
      <c r="U56" s="113"/>
      <c r="W56" s="116"/>
      <c r="X56" s="113"/>
      <c r="Y56" s="117"/>
    </row>
    <row r="57" spans="1:26" x14ac:dyDescent="0.2">
      <c r="A57" s="113"/>
      <c r="B57" s="113"/>
      <c r="C57" s="113"/>
      <c r="D57" s="113"/>
      <c r="E57" s="113"/>
      <c r="F57" s="113"/>
      <c r="G57" s="372" t="s">
        <v>1371</v>
      </c>
      <c r="H57" s="372"/>
      <c r="I57" s="372"/>
      <c r="J57" s="372"/>
      <c r="K57" s="372"/>
      <c r="L57" s="372"/>
      <c r="M57" s="372"/>
      <c r="N57" s="372"/>
      <c r="O57" s="372"/>
      <c r="P57" s="372"/>
      <c r="Q57" s="372"/>
      <c r="R57" s="113"/>
      <c r="S57" s="113"/>
      <c r="T57" s="113"/>
      <c r="U57" s="113"/>
      <c r="W57" s="116"/>
      <c r="X57" s="113"/>
      <c r="Y57" s="117"/>
    </row>
    <row r="58" spans="1:26" ht="13.5" thickBot="1" x14ac:dyDescent="0.25">
      <c r="A58" s="114" t="s">
        <v>1520</v>
      </c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8"/>
      <c r="N58" s="114"/>
      <c r="O58" s="114"/>
      <c r="P58" s="114"/>
      <c r="Q58" s="114"/>
      <c r="R58" s="114"/>
      <c r="S58" s="114"/>
      <c r="T58" s="114"/>
      <c r="U58" s="114"/>
      <c r="V58" s="264"/>
      <c r="W58" s="114" t="s">
        <v>1519</v>
      </c>
      <c r="X58" s="114"/>
      <c r="Y58" s="114"/>
      <c r="Z58" s="264"/>
    </row>
    <row r="59" spans="1:26" x14ac:dyDescent="0.2">
      <c r="A59" s="113"/>
      <c r="B59" s="373" t="s">
        <v>1301</v>
      </c>
      <c r="C59" s="373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</row>
    <row r="60" spans="1:26" x14ac:dyDescent="0.2">
      <c r="A60" s="113"/>
      <c r="B60" s="374" t="s">
        <v>815</v>
      </c>
      <c r="C60" s="374"/>
      <c r="D60" s="375" t="s">
        <v>1302</v>
      </c>
      <c r="E60" s="375"/>
      <c r="F60" s="375"/>
      <c r="G60" s="375"/>
      <c r="H60" s="375"/>
      <c r="I60" s="375"/>
      <c r="J60" s="375"/>
      <c r="K60" s="375"/>
      <c r="L60" s="375"/>
      <c r="M60" s="375"/>
      <c r="N60" s="375" t="s">
        <v>1303</v>
      </c>
      <c r="O60" s="375"/>
      <c r="P60" s="375"/>
      <c r="Q60" s="375"/>
      <c r="R60" s="375"/>
      <c r="S60" s="375"/>
      <c r="T60" s="375"/>
      <c r="U60" s="375"/>
      <c r="W60" s="375" t="s">
        <v>1304</v>
      </c>
      <c r="X60" s="375"/>
      <c r="Y60" s="375" t="s">
        <v>1305</v>
      </c>
      <c r="Z60" s="375"/>
    </row>
    <row r="61" spans="1:26" x14ac:dyDescent="0.2">
      <c r="A61" s="113"/>
      <c r="B61" s="120" t="s">
        <v>846</v>
      </c>
      <c r="C61" s="120" t="s">
        <v>847</v>
      </c>
      <c r="D61" s="267" t="s">
        <v>848</v>
      </c>
      <c r="E61" s="120" t="s">
        <v>849</v>
      </c>
      <c r="F61" s="120" t="s">
        <v>1306</v>
      </c>
      <c r="G61" s="119" t="s">
        <v>1307</v>
      </c>
      <c r="H61" s="119" t="s">
        <v>1308</v>
      </c>
      <c r="I61" s="119" t="s">
        <v>1309</v>
      </c>
      <c r="J61" s="119" t="s">
        <v>1310</v>
      </c>
      <c r="K61" s="268" t="s">
        <v>1311</v>
      </c>
      <c r="L61" s="268" t="s">
        <v>1312</v>
      </c>
      <c r="M61" s="269" t="s">
        <v>1313</v>
      </c>
      <c r="N61" s="119" t="s">
        <v>1314</v>
      </c>
      <c r="O61" s="119" t="s">
        <v>1315</v>
      </c>
      <c r="P61" s="119" t="s">
        <v>1316</v>
      </c>
      <c r="Q61" s="119" t="s">
        <v>1317</v>
      </c>
      <c r="R61" s="119" t="s">
        <v>1318</v>
      </c>
      <c r="S61" s="119" t="s">
        <v>1319</v>
      </c>
      <c r="T61" s="119" t="s">
        <v>1320</v>
      </c>
      <c r="U61" s="268" t="s">
        <v>1321</v>
      </c>
      <c r="V61" s="269" t="s">
        <v>1322</v>
      </c>
      <c r="W61" s="269" t="s">
        <v>1323</v>
      </c>
      <c r="X61" s="119" t="s">
        <v>1324</v>
      </c>
      <c r="Y61" s="119" t="s">
        <v>1325</v>
      </c>
      <c r="Z61" s="119" t="s">
        <v>1326</v>
      </c>
    </row>
    <row r="62" spans="1:26" x14ac:dyDescent="0.2">
      <c r="A62" s="120" t="s">
        <v>313</v>
      </c>
      <c r="B62" s="120" t="s">
        <v>1327</v>
      </c>
      <c r="C62" s="120"/>
      <c r="D62" s="270" t="s">
        <v>1328</v>
      </c>
      <c r="E62" s="120" t="s">
        <v>1329</v>
      </c>
      <c r="F62" s="120" t="s">
        <v>1330</v>
      </c>
      <c r="G62" s="119" t="s">
        <v>1331</v>
      </c>
      <c r="H62" s="120" t="s">
        <v>1332</v>
      </c>
      <c r="I62" s="120" t="s">
        <v>1333</v>
      </c>
      <c r="J62" s="120" t="s">
        <v>1334</v>
      </c>
      <c r="K62" s="120" t="s">
        <v>1335</v>
      </c>
      <c r="L62" s="120" t="s">
        <v>1336</v>
      </c>
      <c r="M62" s="271" t="s">
        <v>717</v>
      </c>
      <c r="N62" s="120" t="s">
        <v>1328</v>
      </c>
      <c r="O62" s="120" t="s">
        <v>1329</v>
      </c>
      <c r="P62" s="119" t="s">
        <v>1330</v>
      </c>
      <c r="Q62" s="119" t="s">
        <v>1331</v>
      </c>
      <c r="R62" s="120" t="s">
        <v>1332</v>
      </c>
      <c r="S62" s="120" t="s">
        <v>1333</v>
      </c>
      <c r="T62" s="120" t="s">
        <v>1334</v>
      </c>
      <c r="U62" s="120" t="s">
        <v>1336</v>
      </c>
      <c r="V62" s="271" t="s">
        <v>717</v>
      </c>
      <c r="W62" s="119" t="s">
        <v>1337</v>
      </c>
      <c r="X62" s="271" t="s">
        <v>1338</v>
      </c>
      <c r="Y62" s="120" t="s">
        <v>1339</v>
      </c>
      <c r="Z62" s="120" t="s">
        <v>1340</v>
      </c>
    </row>
    <row r="63" spans="1:26" ht="13.5" thickBot="1" x14ac:dyDescent="0.25">
      <c r="A63" s="118" t="s">
        <v>319</v>
      </c>
      <c r="B63" s="272" t="s">
        <v>1341</v>
      </c>
      <c r="C63" s="273" t="s">
        <v>1342</v>
      </c>
      <c r="D63" s="274" t="s">
        <v>1343</v>
      </c>
      <c r="E63" s="273" t="s">
        <v>1344</v>
      </c>
      <c r="F63" s="273" t="s">
        <v>1344</v>
      </c>
      <c r="G63" s="121" t="s">
        <v>1344</v>
      </c>
      <c r="H63" s="273" t="s">
        <v>1344</v>
      </c>
      <c r="I63" s="273" t="s">
        <v>1345</v>
      </c>
      <c r="J63" s="273" t="s">
        <v>1344</v>
      </c>
      <c r="K63" s="273" t="s">
        <v>1346</v>
      </c>
      <c r="L63" s="273" t="s">
        <v>1344</v>
      </c>
      <c r="M63" s="275"/>
      <c r="N63" s="121" t="s">
        <v>1343</v>
      </c>
      <c r="O63" s="121" t="s">
        <v>1344</v>
      </c>
      <c r="P63" s="121" t="s">
        <v>1344</v>
      </c>
      <c r="Q63" s="121" t="s">
        <v>1344</v>
      </c>
      <c r="R63" s="273" t="s">
        <v>1344</v>
      </c>
      <c r="S63" s="273" t="s">
        <v>1345</v>
      </c>
      <c r="T63" s="273" t="s">
        <v>1344</v>
      </c>
      <c r="U63" s="273" t="s">
        <v>1344</v>
      </c>
      <c r="V63" s="275"/>
      <c r="W63" s="273" t="s">
        <v>1347</v>
      </c>
      <c r="X63" s="275" t="s">
        <v>1348</v>
      </c>
      <c r="Y63" s="118" t="s">
        <v>1349</v>
      </c>
      <c r="Z63" s="118" t="s">
        <v>1350</v>
      </c>
    </row>
    <row r="64" spans="1:26" x14ac:dyDescent="0.2">
      <c r="A64" s="120">
        <v>1</v>
      </c>
      <c r="B64" s="276">
        <v>0</v>
      </c>
      <c r="C64" s="128">
        <v>0</v>
      </c>
      <c r="D64" s="279">
        <f>+$F$90+C64*$F$92/100</f>
        <v>40.5</v>
      </c>
      <c r="E64" s="278">
        <f>+C64*$F$93/100</f>
        <v>0</v>
      </c>
      <c r="F64" s="278">
        <f>+C64*$F$94/100</f>
        <v>0</v>
      </c>
      <c r="G64" s="278">
        <f>+C64*$F$95/100</f>
        <v>0</v>
      </c>
      <c r="H64" s="278">
        <f>+C64*$F$97/100</f>
        <v>0</v>
      </c>
      <c r="I64" s="278">
        <f>+$C64*$F$96/100</f>
        <v>0</v>
      </c>
      <c r="J64" s="278">
        <f>+$C64*$F$98/100</f>
        <v>0</v>
      </c>
      <c r="K64" s="278">
        <f>+$C64*$F$99/100</f>
        <v>0</v>
      </c>
      <c r="L64" s="278">
        <f>+SUM(D64:K64)*0.025641</f>
        <v>1.0384605</v>
      </c>
      <c r="M64" s="278">
        <f>SUM(D64:L64)</f>
        <v>41.538460499999999</v>
      </c>
      <c r="N64" s="279">
        <f>(+$C64*$I$92)/100+$I$90</f>
        <v>42</v>
      </c>
      <c r="O64" s="278">
        <f>+$I$93*$C64/100</f>
        <v>0</v>
      </c>
      <c r="P64" s="278">
        <f>+$C64*$I$94/100</f>
        <v>0</v>
      </c>
      <c r="Q64" s="278">
        <f>+$C64*$I$95/100</f>
        <v>0</v>
      </c>
      <c r="R64" s="278">
        <f>+$C64*$I$97/100</f>
        <v>0</v>
      </c>
      <c r="S64" s="278">
        <f>+$C64*$I$96/100</f>
        <v>0</v>
      </c>
      <c r="T64" s="278">
        <f>+$C64*$I$98/100</f>
        <v>0</v>
      </c>
      <c r="U64" s="278">
        <f>+SUM(N64:T64)*0.025641</f>
        <v>1.0769219999999999</v>
      </c>
      <c r="V64" s="278">
        <f>SUM(N64:U64)</f>
        <v>43.076922000000003</v>
      </c>
      <c r="W64" s="279">
        <f>+V64-M64</f>
        <v>1.5384615000000039</v>
      </c>
      <c r="X64" s="280">
        <f>+W64/M64</f>
        <v>3.7037037037037132E-2</v>
      </c>
      <c r="Y64" s="281">
        <v>0</v>
      </c>
      <c r="Z64" s="282">
        <v>0</v>
      </c>
    </row>
    <row r="65" spans="1:26" x14ac:dyDescent="0.2">
      <c r="A65" s="120">
        <v>2</v>
      </c>
      <c r="B65" s="276"/>
      <c r="C65" s="128"/>
      <c r="D65" s="277"/>
      <c r="E65" s="278"/>
      <c r="F65" s="278"/>
      <c r="G65" s="278"/>
      <c r="H65" s="278"/>
      <c r="I65" s="278"/>
      <c r="J65" s="278"/>
      <c r="K65" s="278"/>
      <c r="L65" s="278"/>
      <c r="M65" s="278"/>
      <c r="N65" s="277"/>
      <c r="O65" s="278"/>
      <c r="P65" s="278"/>
      <c r="Q65" s="278"/>
      <c r="R65" s="278"/>
      <c r="S65" s="278"/>
      <c r="T65" s="278"/>
      <c r="U65" s="278"/>
      <c r="V65" s="278"/>
      <c r="W65" s="277"/>
      <c r="X65" s="280"/>
      <c r="Y65" s="283"/>
      <c r="Z65" s="282"/>
    </row>
    <row r="66" spans="1:26" x14ac:dyDescent="0.2">
      <c r="A66" s="120">
        <v>3</v>
      </c>
      <c r="B66" s="276">
        <v>0</v>
      </c>
      <c r="C66" s="128">
        <v>100</v>
      </c>
      <c r="D66" s="277">
        <f>+$F$90+C66*$F$92/100</f>
        <v>47.71</v>
      </c>
      <c r="E66" s="278">
        <f>+C66*$F$93/100</f>
        <v>3.843</v>
      </c>
      <c r="F66" s="278">
        <f>+C66*$F$94/100</f>
        <v>0.192</v>
      </c>
      <c r="G66" s="278">
        <f>+C66*$F$95/100</f>
        <v>5.4000000000000006E-2</v>
      </c>
      <c r="H66" s="278">
        <f>+C66*$F$97/100</f>
        <v>8.4000000000000005E-2</v>
      </c>
      <c r="I66" s="278">
        <f>+$C66*$F$96/100</f>
        <v>0.42700000000000005</v>
      </c>
      <c r="J66" s="278">
        <f>+$C66*$F$98/100</f>
        <v>0.77500000000000002</v>
      </c>
      <c r="K66" s="278">
        <f>+$C66*$F$99/100</f>
        <v>0</v>
      </c>
      <c r="L66" s="278">
        <f>+SUM(D66:K66)*0.025641</f>
        <v>1.3611524850000001</v>
      </c>
      <c r="M66" s="278">
        <f>SUM(D66:L66)</f>
        <v>54.446152484999999</v>
      </c>
      <c r="N66" s="277">
        <f>(+C66*$I$92)/100+$I$90</f>
        <v>49.5</v>
      </c>
      <c r="O66" s="278">
        <f>+$I$93*$C66/100</f>
        <v>3.843</v>
      </c>
      <c r="P66" s="278">
        <f>+$C66*$I$94/100</f>
        <v>0.192</v>
      </c>
      <c r="Q66" s="278">
        <f>+$C66*$I$95/100</f>
        <v>5.4000000000000006E-2</v>
      </c>
      <c r="R66" s="278">
        <f>+$C66*$I$97/100</f>
        <v>8.4000000000000005E-2</v>
      </c>
      <c r="S66" s="278">
        <f>+$C66*$I$96/100</f>
        <v>0.42700000000000005</v>
      </c>
      <c r="T66" s="278">
        <f>+$C66*$I$98/100</f>
        <v>0.77500000000000002</v>
      </c>
      <c r="U66" s="278">
        <f>+SUM(N66:T66)*0.025641</f>
        <v>1.4070498750000002</v>
      </c>
      <c r="V66" s="278">
        <f>SUM(N66:U66)</f>
        <v>56.282049875000006</v>
      </c>
      <c r="W66" s="277">
        <f>+V66-M66</f>
        <v>1.8358973900000066</v>
      </c>
      <c r="X66" s="280">
        <f>+W66/M66</f>
        <v>3.3719506451916861E-2</v>
      </c>
      <c r="Y66" s="284">
        <f>+M66/C66*100</f>
        <v>54.446152484999999</v>
      </c>
      <c r="Z66" s="285">
        <f>+V66/C66*100</f>
        <v>56.282049875000006</v>
      </c>
    </row>
    <row r="67" spans="1:26" x14ac:dyDescent="0.2">
      <c r="A67" s="120">
        <v>4</v>
      </c>
      <c r="B67" s="276"/>
      <c r="C67" s="128"/>
      <c r="D67" s="277"/>
      <c r="E67" s="278"/>
      <c r="F67" s="278"/>
      <c r="G67" s="278"/>
      <c r="H67" s="278"/>
      <c r="I67" s="278"/>
      <c r="J67" s="278"/>
      <c r="K67" s="278"/>
      <c r="L67" s="278"/>
      <c r="M67" s="278"/>
      <c r="N67" s="277"/>
      <c r="O67" s="278"/>
      <c r="P67" s="278"/>
      <c r="Q67" s="278"/>
      <c r="R67" s="278"/>
      <c r="S67" s="278"/>
      <c r="T67" s="278"/>
      <c r="U67" s="278"/>
      <c r="V67" s="278"/>
      <c r="W67" s="277"/>
      <c r="X67" s="280"/>
      <c r="Y67" s="283"/>
      <c r="Z67" s="282"/>
    </row>
    <row r="68" spans="1:26" x14ac:dyDescent="0.2">
      <c r="A68" s="120">
        <v>5</v>
      </c>
      <c r="B68" s="276">
        <v>0</v>
      </c>
      <c r="C68" s="128">
        <v>250</v>
      </c>
      <c r="D68" s="277">
        <f>+$F$90+C68*$F$92/100</f>
        <v>58.524999999999999</v>
      </c>
      <c r="E68" s="278">
        <f>+C68*$F$93/100</f>
        <v>9.6074999999999999</v>
      </c>
      <c r="F68" s="278">
        <f>+C68*$F$94/100</f>
        <v>0.48</v>
      </c>
      <c r="G68" s="278">
        <f>+C68*$F$95/100</f>
        <v>0.13500000000000001</v>
      </c>
      <c r="H68" s="278">
        <f>+C68*$F$97/100</f>
        <v>0.21</v>
      </c>
      <c r="I68" s="278">
        <f>+$C68*$F$96/100</f>
        <v>1.0675000000000001</v>
      </c>
      <c r="J68" s="278">
        <f>+$C68*$F$98/100</f>
        <v>1.9375</v>
      </c>
      <c r="K68" s="278">
        <f>+$C68*$F$99/100</f>
        <v>0</v>
      </c>
      <c r="L68" s="278">
        <f>+SUM(D68:K68)*0.025641</f>
        <v>1.8451904624999997</v>
      </c>
      <c r="M68" s="278">
        <f>SUM(D68:L68)</f>
        <v>73.807690462499991</v>
      </c>
      <c r="N68" s="277">
        <f>(+C68*$I$92)/100+$I$90</f>
        <v>60.75</v>
      </c>
      <c r="O68" s="278">
        <f>+$I$93*$C68/100</f>
        <v>9.6074999999999999</v>
      </c>
      <c r="P68" s="278">
        <f>+$C68*$I$94/100</f>
        <v>0.48</v>
      </c>
      <c r="Q68" s="278">
        <f>+$C68*$I$95/100</f>
        <v>0.13500000000000001</v>
      </c>
      <c r="R68" s="278">
        <f>+$C68*$I$97/100</f>
        <v>0.21</v>
      </c>
      <c r="S68" s="278">
        <f>+$C68*$I$96/100</f>
        <v>1.0675000000000001</v>
      </c>
      <c r="T68" s="278">
        <f>+$C68*$I$98/100</f>
        <v>1.9375</v>
      </c>
      <c r="U68" s="278">
        <f>+SUM(N68:T68)*0.025641</f>
        <v>1.9022416875000001</v>
      </c>
      <c r="V68" s="278">
        <f>SUM(N68:U68)</f>
        <v>76.089741687499995</v>
      </c>
      <c r="W68" s="277">
        <f>+V68-M68</f>
        <v>2.2820512250000036</v>
      </c>
      <c r="X68" s="280">
        <f>+W68/M68</f>
        <v>3.0918881361820444E-2</v>
      </c>
      <c r="Y68" s="284">
        <f>+M68/C68*100</f>
        <v>29.523076184999997</v>
      </c>
      <c r="Z68" s="285">
        <f>+V68/C68*100</f>
        <v>30.435896674999995</v>
      </c>
    </row>
    <row r="69" spans="1:26" x14ac:dyDescent="0.2">
      <c r="A69" s="120">
        <v>6</v>
      </c>
      <c r="B69" s="276"/>
      <c r="C69" s="128"/>
      <c r="D69" s="277"/>
      <c r="E69" s="278"/>
      <c r="F69" s="278"/>
      <c r="G69" s="278"/>
      <c r="H69" s="278"/>
      <c r="I69" s="278"/>
      <c r="J69" s="278"/>
      <c r="K69" s="278"/>
      <c r="L69" s="278"/>
      <c r="M69" s="278"/>
      <c r="N69" s="277"/>
      <c r="O69" s="278"/>
      <c r="P69" s="278"/>
      <c r="Q69" s="278"/>
      <c r="R69" s="278"/>
      <c r="S69" s="278"/>
      <c r="T69" s="278"/>
      <c r="U69" s="278"/>
      <c r="V69" s="278"/>
      <c r="W69" s="277"/>
      <c r="X69" s="280"/>
      <c r="Y69" s="283"/>
      <c r="Z69" s="282"/>
    </row>
    <row r="70" spans="1:26" x14ac:dyDescent="0.2">
      <c r="A70" s="120">
        <v>7</v>
      </c>
      <c r="B70" s="276">
        <v>0</v>
      </c>
      <c r="C70" s="128">
        <v>500</v>
      </c>
      <c r="D70" s="277">
        <f>+$F$90+C70*$F$92/100</f>
        <v>76.55</v>
      </c>
      <c r="E70" s="278">
        <f>+C70*$F$93/100</f>
        <v>19.215</v>
      </c>
      <c r="F70" s="278">
        <f>+C70*$F$94/100</f>
        <v>0.96</v>
      </c>
      <c r="G70" s="278">
        <f>+C70*$F$95/100</f>
        <v>0.27</v>
      </c>
      <c r="H70" s="278">
        <f>+C70*$F$97/100</f>
        <v>0.42</v>
      </c>
      <c r="I70" s="278">
        <f>+$C70*$F$96/100</f>
        <v>2.1350000000000002</v>
      </c>
      <c r="J70" s="278">
        <f>+$C70*$F$98/100</f>
        <v>3.875</v>
      </c>
      <c r="K70" s="278">
        <f>+$C70*$F$99/100</f>
        <v>0</v>
      </c>
      <c r="L70" s="278">
        <f>+SUM(D70:K70)*0.025641</f>
        <v>2.6519204250000001</v>
      </c>
      <c r="M70" s="278">
        <f>SUM(D70:L70)</f>
        <v>106.076920425</v>
      </c>
      <c r="N70" s="277">
        <f>(+C70*$I$92)/100+$I$90</f>
        <v>79.5</v>
      </c>
      <c r="O70" s="278">
        <f>+$I$93*$C70/100</f>
        <v>19.215</v>
      </c>
      <c r="P70" s="278">
        <f>+$C70*$I$94/100</f>
        <v>0.96</v>
      </c>
      <c r="Q70" s="278">
        <f>+$C70*$I$95/100</f>
        <v>0.27</v>
      </c>
      <c r="R70" s="278">
        <f>+$C70*$I$97/100</f>
        <v>0.42</v>
      </c>
      <c r="S70" s="278">
        <f>+$C70*$I$96/100</f>
        <v>2.1350000000000002</v>
      </c>
      <c r="T70" s="278">
        <f>+$C70*$I$98/100</f>
        <v>3.875</v>
      </c>
      <c r="U70" s="278">
        <f>+SUM(N70:T70)*0.025641</f>
        <v>2.7275613750000001</v>
      </c>
      <c r="V70" s="278">
        <f>SUM(N70:U70)</f>
        <v>109.10256137499999</v>
      </c>
      <c r="W70" s="277">
        <f>+V70-M70</f>
        <v>3.0256409499999961</v>
      </c>
      <c r="X70" s="280">
        <f>+W70/M70</f>
        <v>2.8523084360647776E-2</v>
      </c>
      <c r="Y70" s="284">
        <f>+M70/C70*100</f>
        <v>21.215384085</v>
      </c>
      <c r="Z70" s="285">
        <f>+V70/C70*100</f>
        <v>21.820512274999999</v>
      </c>
    </row>
    <row r="71" spans="1:26" x14ac:dyDescent="0.2">
      <c r="A71" s="120">
        <v>8</v>
      </c>
      <c r="B71" s="276"/>
      <c r="C71" s="128"/>
      <c r="D71" s="277"/>
      <c r="E71" s="278"/>
      <c r="F71" s="278"/>
      <c r="G71" s="278"/>
      <c r="H71" s="278"/>
      <c r="I71" s="278"/>
      <c r="J71" s="278"/>
      <c r="K71" s="278"/>
      <c r="L71" s="278"/>
      <c r="M71" s="278"/>
      <c r="N71" s="277"/>
      <c r="O71" s="278"/>
      <c r="P71" s="278"/>
      <c r="Q71" s="278"/>
      <c r="R71" s="278"/>
      <c r="S71" s="278"/>
      <c r="T71" s="278"/>
      <c r="U71" s="278"/>
      <c r="V71" s="278"/>
      <c r="W71" s="277"/>
      <c r="X71" s="280"/>
      <c r="Y71" s="283"/>
      <c r="Z71" s="282"/>
    </row>
    <row r="72" spans="1:26" x14ac:dyDescent="0.2">
      <c r="A72" s="120">
        <v>9</v>
      </c>
      <c r="B72" s="276">
        <v>0</v>
      </c>
      <c r="C72" s="128">
        <v>750</v>
      </c>
      <c r="D72" s="277">
        <f>+$F$90+C72*$F$92/100</f>
        <v>94.575000000000003</v>
      </c>
      <c r="E72" s="278">
        <f>+C72*$F$93/100</f>
        <v>28.822500000000002</v>
      </c>
      <c r="F72" s="278">
        <f>+C72*$F$94/100</f>
        <v>1.44</v>
      </c>
      <c r="G72" s="278">
        <f>+C72*$F$95/100</f>
        <v>0.40500000000000003</v>
      </c>
      <c r="H72" s="278">
        <f>+C72*$F$97/100</f>
        <v>0.63000000000000012</v>
      </c>
      <c r="I72" s="278">
        <f>+$C72*$F$96/100</f>
        <v>3.2025000000000006</v>
      </c>
      <c r="J72" s="278">
        <f>+$C72*$F$98/100</f>
        <v>5.8125</v>
      </c>
      <c r="K72" s="278">
        <f>+$C72*$F$99/100</f>
        <v>0</v>
      </c>
      <c r="L72" s="278">
        <f>+SUM(D72:K72)*0.025641</f>
        <v>3.4586503874999996</v>
      </c>
      <c r="M72" s="278">
        <f>SUM(D72:L72)</f>
        <v>138.34615038749999</v>
      </c>
      <c r="N72" s="277">
        <f>(+C72*$I$92)/100+$I$90</f>
        <v>98.25</v>
      </c>
      <c r="O72" s="278">
        <f>+$I$93*$C72/100</f>
        <v>28.822500000000002</v>
      </c>
      <c r="P72" s="278">
        <f>+$C72*$I$94/100</f>
        <v>1.44</v>
      </c>
      <c r="Q72" s="278">
        <f>+$C72*$I$95/100</f>
        <v>0.40500000000000003</v>
      </c>
      <c r="R72" s="278">
        <f>+$C72*$I$97/100</f>
        <v>0.63000000000000012</v>
      </c>
      <c r="S72" s="278">
        <f>+$C72*$I$96/100</f>
        <v>3.2025000000000006</v>
      </c>
      <c r="T72" s="278">
        <f>+$C72*$I$98/100</f>
        <v>5.8125</v>
      </c>
      <c r="U72" s="278">
        <f>+SUM(N72:T72)*0.025641</f>
        <v>3.5528810625</v>
      </c>
      <c r="V72" s="278">
        <f>SUM(N72:U72)</f>
        <v>142.11538106250001</v>
      </c>
      <c r="W72" s="277">
        <f>+V72-M72</f>
        <v>3.7692306750000171</v>
      </c>
      <c r="X72" s="280">
        <f>+W72/M72</f>
        <v>2.7244926327495259E-2</v>
      </c>
      <c r="Y72" s="284">
        <f>+M72/C72*100</f>
        <v>18.446153384999999</v>
      </c>
      <c r="Z72" s="285">
        <f>+V72/C72*100</f>
        <v>18.948717475000002</v>
      </c>
    </row>
    <row r="73" spans="1:26" x14ac:dyDescent="0.2">
      <c r="A73" s="120">
        <v>10</v>
      </c>
      <c r="B73" s="276"/>
      <c r="C73" s="128"/>
      <c r="D73" s="277"/>
      <c r="E73" s="278"/>
      <c r="F73" s="278"/>
      <c r="G73" s="278"/>
      <c r="H73" s="278"/>
      <c r="I73" s="278"/>
      <c r="J73" s="278"/>
      <c r="K73" s="278"/>
      <c r="L73" s="278"/>
      <c r="M73" s="278"/>
      <c r="N73" s="277"/>
      <c r="O73" s="278"/>
      <c r="P73" s="278"/>
      <c r="Q73" s="278"/>
      <c r="R73" s="278"/>
      <c r="S73" s="278"/>
      <c r="T73" s="278"/>
      <c r="U73" s="278"/>
      <c r="V73" s="278"/>
      <c r="W73" s="277"/>
      <c r="X73" s="280"/>
      <c r="Y73" s="283"/>
      <c r="Z73" s="282"/>
    </row>
    <row r="74" spans="1:26" x14ac:dyDescent="0.2">
      <c r="A74" s="120">
        <v>11</v>
      </c>
      <c r="B74" s="276">
        <v>0</v>
      </c>
      <c r="C74" s="128">
        <v>1000</v>
      </c>
      <c r="D74" s="277">
        <f>+$F$90+C74*$F$92/100</f>
        <v>112.6</v>
      </c>
      <c r="E74" s="278">
        <f>+C74*$F$93/100</f>
        <v>38.43</v>
      </c>
      <c r="F74" s="278">
        <f>+C74*$F$94/100</f>
        <v>1.92</v>
      </c>
      <c r="G74" s="278">
        <f>+C74*$F$95/100</f>
        <v>0.54</v>
      </c>
      <c r="H74" s="278">
        <f>+C74*$F$97/100</f>
        <v>0.84</v>
      </c>
      <c r="I74" s="278">
        <f>+$C74*$F$96/100</f>
        <v>4.2700000000000005</v>
      </c>
      <c r="J74" s="278">
        <f>+$C74*$F$98/100</f>
        <v>7.75</v>
      </c>
      <c r="K74" s="278">
        <f>+$C74*$F$99/100</f>
        <v>0</v>
      </c>
      <c r="L74" s="278">
        <f>+SUM(D74:K74)*0.025641</f>
        <v>4.26538035</v>
      </c>
      <c r="M74" s="278">
        <f>SUM(D74:L74)</f>
        <v>170.61538034999998</v>
      </c>
      <c r="N74" s="277">
        <f>(+C74*$I$92)/100+$I$90</f>
        <v>117</v>
      </c>
      <c r="O74" s="278">
        <f>+$I$93*$C74/100</f>
        <v>38.43</v>
      </c>
      <c r="P74" s="278">
        <f>+$C74*$I$94/100</f>
        <v>1.92</v>
      </c>
      <c r="Q74" s="278">
        <f>+$C74*$I$95/100</f>
        <v>0.54</v>
      </c>
      <c r="R74" s="278">
        <f>+$C74*$I$97/100</f>
        <v>0.84</v>
      </c>
      <c r="S74" s="278">
        <f>+$C74*$I$96/100</f>
        <v>4.2700000000000005</v>
      </c>
      <c r="T74" s="278">
        <f>+$C74*$I$98/100</f>
        <v>7.75</v>
      </c>
      <c r="U74" s="278">
        <f>+SUM(N74:T74)*0.025641</f>
        <v>4.3782007500000004</v>
      </c>
      <c r="V74" s="278">
        <f>SUM(N74:U74)</f>
        <v>175.12820074999999</v>
      </c>
      <c r="W74" s="277">
        <f>+V74-M74</f>
        <v>4.5128204000000096</v>
      </c>
      <c r="X74" s="280">
        <f>+W74/M74</f>
        <v>2.6450255485422361E-2</v>
      </c>
      <c r="Y74" s="284">
        <f>+M74/C74*100</f>
        <v>17.061538034999998</v>
      </c>
      <c r="Z74" s="285">
        <f>+V74/C74*100</f>
        <v>17.512820075</v>
      </c>
    </row>
    <row r="75" spans="1:26" x14ac:dyDescent="0.2">
      <c r="A75" s="120">
        <v>12</v>
      </c>
      <c r="B75" s="276"/>
      <c r="C75" s="128"/>
      <c r="D75" s="277"/>
      <c r="E75" s="278"/>
      <c r="F75" s="278"/>
      <c r="G75" s="278"/>
      <c r="H75" s="278"/>
      <c r="I75" s="278"/>
      <c r="J75" s="278"/>
      <c r="K75" s="278"/>
      <c r="L75" s="278"/>
      <c r="M75" s="278"/>
      <c r="N75" s="277"/>
      <c r="O75" s="278"/>
      <c r="P75" s="278"/>
      <c r="Q75" s="278"/>
      <c r="R75" s="278"/>
      <c r="S75" s="278"/>
      <c r="T75" s="278"/>
      <c r="U75" s="278"/>
      <c r="V75" s="278"/>
      <c r="W75" s="277"/>
      <c r="X75" s="280"/>
      <c r="Y75" s="283"/>
      <c r="Z75" s="282"/>
    </row>
    <row r="76" spans="1:26" x14ac:dyDescent="0.2">
      <c r="A76" s="120">
        <v>13</v>
      </c>
      <c r="B76" s="276">
        <v>0</v>
      </c>
      <c r="C76" s="128">
        <v>1250</v>
      </c>
      <c r="D76" s="277">
        <f>+$F$90+C76*$F$92/100</f>
        <v>130.625</v>
      </c>
      <c r="E76" s="278">
        <f>+C76*$F$93/100</f>
        <v>48.037500000000001</v>
      </c>
      <c r="F76" s="278">
        <f>+C76*$F$94/100</f>
        <v>2.4</v>
      </c>
      <c r="G76" s="278">
        <f>+C76*$F$95/100</f>
        <v>0.67500000000000004</v>
      </c>
      <c r="H76" s="278">
        <f>+C76*$F$97/100</f>
        <v>1.05</v>
      </c>
      <c r="I76" s="278">
        <f>+$C76*$F$96/100</f>
        <v>5.3375000000000012</v>
      </c>
      <c r="J76" s="278">
        <f>+$C76*$F$98/100</f>
        <v>9.6875</v>
      </c>
      <c r="K76" s="278">
        <f>+$C76*$F$99/100</f>
        <v>0</v>
      </c>
      <c r="L76" s="278">
        <f>+SUM(D76:K76)*0.025641</f>
        <v>5.0721103125000004</v>
      </c>
      <c r="M76" s="278">
        <f>SUM(D76:L76)</f>
        <v>202.88461031250003</v>
      </c>
      <c r="N76" s="277">
        <f>(+C76*$I$92)/100+$I$90</f>
        <v>135.75</v>
      </c>
      <c r="O76" s="278">
        <f>+$I$93*$C76/100</f>
        <v>48.037500000000001</v>
      </c>
      <c r="P76" s="278">
        <f>+$C76*$I$94/100</f>
        <v>2.4</v>
      </c>
      <c r="Q76" s="278">
        <f>+$C76*$I$95/100</f>
        <v>0.67500000000000004</v>
      </c>
      <c r="R76" s="278">
        <f>+$C76*$I$97/100</f>
        <v>1.05</v>
      </c>
      <c r="S76" s="278">
        <f>+$C76*$I$96/100</f>
        <v>5.3375000000000012</v>
      </c>
      <c r="T76" s="278">
        <f>+$C76*$I$98/100</f>
        <v>9.6875</v>
      </c>
      <c r="U76" s="278">
        <f>+SUM(N76:T76)*0.025641</f>
        <v>5.2035204375000008</v>
      </c>
      <c r="V76" s="278">
        <f>SUM(N76:U76)</f>
        <v>208.14102043750003</v>
      </c>
      <c r="W76" s="277">
        <f>+V76-M76</f>
        <v>5.2564101250000022</v>
      </c>
      <c r="X76" s="280">
        <f>+W76/M76</f>
        <v>2.5908372827804116E-2</v>
      </c>
      <c r="Y76" s="284">
        <f>+M76/C76*100</f>
        <v>16.230768825000002</v>
      </c>
      <c r="Z76" s="285">
        <f>+V76/C76*100</f>
        <v>16.651281635000004</v>
      </c>
    </row>
    <row r="77" spans="1:26" x14ac:dyDescent="0.2">
      <c r="A77" s="120">
        <v>14</v>
      </c>
      <c r="B77" s="276"/>
      <c r="C77" s="128"/>
      <c r="D77" s="277"/>
      <c r="E77" s="278"/>
      <c r="F77" s="278"/>
      <c r="G77" s="278"/>
      <c r="H77" s="278"/>
      <c r="I77" s="278"/>
      <c r="J77" s="278"/>
      <c r="K77" s="278"/>
      <c r="L77" s="278"/>
      <c r="M77" s="278"/>
      <c r="N77" s="277"/>
      <c r="O77" s="278"/>
      <c r="P77" s="278"/>
      <c r="Q77" s="278"/>
      <c r="R77" s="278"/>
      <c r="S77" s="278"/>
      <c r="T77" s="278"/>
      <c r="U77" s="278"/>
      <c r="V77" s="278"/>
      <c r="W77" s="277"/>
      <c r="X77" s="280"/>
      <c r="Y77" s="283"/>
      <c r="Z77" s="282"/>
    </row>
    <row r="78" spans="1:26" x14ac:dyDescent="0.2">
      <c r="A78" s="120">
        <v>15</v>
      </c>
      <c r="B78" s="276">
        <v>0</v>
      </c>
      <c r="C78" s="128">
        <v>1500</v>
      </c>
      <c r="D78" s="277">
        <f>+$F$90+C78*$F$92/100</f>
        <v>148.65</v>
      </c>
      <c r="E78" s="278">
        <f>+C78*$F$93/100</f>
        <v>57.645000000000003</v>
      </c>
      <c r="F78" s="278">
        <f>+C78*$F$94/100</f>
        <v>2.88</v>
      </c>
      <c r="G78" s="278">
        <f>+C78*$F$95/100</f>
        <v>0.81</v>
      </c>
      <c r="H78" s="278">
        <f>+C78*$F$97/100</f>
        <v>1.2600000000000002</v>
      </c>
      <c r="I78" s="278">
        <f>+$C78*$F$96/100</f>
        <v>6.4050000000000011</v>
      </c>
      <c r="J78" s="278">
        <f>+$C78*$F$98/100</f>
        <v>11.625</v>
      </c>
      <c r="K78" s="278">
        <f>+$C78*$F$99/100</f>
        <v>0</v>
      </c>
      <c r="L78" s="278">
        <f>+SUM(D78:K78)*0.025641</f>
        <v>5.8788402749999999</v>
      </c>
      <c r="M78" s="278">
        <f>SUM(D78:L78)</f>
        <v>235.15384027499999</v>
      </c>
      <c r="N78" s="277">
        <f>(+C78*$I$92)/100+$I$90</f>
        <v>154.5</v>
      </c>
      <c r="O78" s="278">
        <f>+$I$93*$C78/100</f>
        <v>57.645000000000003</v>
      </c>
      <c r="P78" s="278">
        <f>+$C78*$I$94/100</f>
        <v>2.88</v>
      </c>
      <c r="Q78" s="278">
        <f>+$C78*$I$95/100</f>
        <v>0.81</v>
      </c>
      <c r="R78" s="278">
        <f>+$C78*$I$97/100</f>
        <v>1.2600000000000002</v>
      </c>
      <c r="S78" s="278">
        <f>+$C78*$I$96/100</f>
        <v>6.4050000000000011</v>
      </c>
      <c r="T78" s="278">
        <f>+$C78*$I$98/100</f>
        <v>11.625</v>
      </c>
      <c r="U78" s="278">
        <f>+SUM(N78:T78)*0.025641</f>
        <v>6.0288401250000003</v>
      </c>
      <c r="V78" s="278">
        <f>SUM(N78:U78)</f>
        <v>241.15384012499999</v>
      </c>
      <c r="W78" s="277">
        <f>+V78-M78</f>
        <v>5.9999998499999947</v>
      </c>
      <c r="X78" s="280">
        <f>+W78/M78</f>
        <v>2.551521099116779E-2</v>
      </c>
      <c r="Y78" s="284">
        <f>+M78/C78*100</f>
        <v>15.676922684999999</v>
      </c>
      <c r="Z78" s="285">
        <f>+V78/C78*100</f>
        <v>16.076922674999999</v>
      </c>
    </row>
    <row r="79" spans="1:26" x14ac:dyDescent="0.2">
      <c r="A79" s="120">
        <v>16</v>
      </c>
      <c r="B79" s="276"/>
      <c r="C79" s="128"/>
      <c r="D79" s="277"/>
      <c r="E79" s="278"/>
      <c r="F79" s="278"/>
      <c r="G79" s="278"/>
      <c r="H79" s="278"/>
      <c r="I79" s="278"/>
      <c r="J79" s="278"/>
      <c r="K79" s="278"/>
      <c r="L79" s="278"/>
      <c r="M79" s="278"/>
      <c r="N79" s="277"/>
      <c r="O79" s="278"/>
      <c r="P79" s="278"/>
      <c r="Q79" s="278"/>
      <c r="R79" s="278"/>
      <c r="S79" s="278"/>
      <c r="T79" s="278"/>
      <c r="U79" s="278"/>
      <c r="V79" s="278"/>
      <c r="W79" s="277"/>
      <c r="X79" s="280"/>
      <c r="Y79" s="283"/>
      <c r="Z79" s="282"/>
    </row>
    <row r="80" spans="1:26" x14ac:dyDescent="0.2">
      <c r="A80" s="120">
        <v>17</v>
      </c>
      <c r="B80" s="276">
        <v>0</v>
      </c>
      <c r="C80" s="128">
        <v>2000</v>
      </c>
      <c r="D80" s="277">
        <f>+$F$90+C80*$F$92/100</f>
        <v>184.7</v>
      </c>
      <c r="E80" s="278">
        <f>+C80*$F$93/100</f>
        <v>76.86</v>
      </c>
      <c r="F80" s="278">
        <f>+C80*$F$94/100</f>
        <v>3.84</v>
      </c>
      <c r="G80" s="278">
        <f>+C80*$F$95/100</f>
        <v>1.08</v>
      </c>
      <c r="H80" s="278">
        <f>+C80*$F$97/100</f>
        <v>1.68</v>
      </c>
      <c r="I80" s="278">
        <f>+$C80*$F$96/100</f>
        <v>8.5400000000000009</v>
      </c>
      <c r="J80" s="278">
        <f>+$C80*$F$98/100</f>
        <v>15.5</v>
      </c>
      <c r="K80" s="278">
        <f>+$C80*$F$99/100</f>
        <v>0</v>
      </c>
      <c r="L80" s="278">
        <f>+SUM(D80:K80)*0.025641</f>
        <v>7.4923001999999999</v>
      </c>
      <c r="M80" s="278">
        <f>SUM(D80:L80)</f>
        <v>299.69230019999998</v>
      </c>
      <c r="N80" s="277">
        <f>(+C80*$I$92)/100+$I$90</f>
        <v>192</v>
      </c>
      <c r="O80" s="278">
        <f>+$I$93*$C80/100</f>
        <v>76.86</v>
      </c>
      <c r="P80" s="278">
        <f>+$C80*$I$94/100</f>
        <v>3.84</v>
      </c>
      <c r="Q80" s="278">
        <f>+$C80*$I$95/100</f>
        <v>1.08</v>
      </c>
      <c r="R80" s="278">
        <f>+$C80*$I$97/100</f>
        <v>1.68</v>
      </c>
      <c r="S80" s="278">
        <f>+$C80*$I$96/100</f>
        <v>8.5400000000000009</v>
      </c>
      <c r="T80" s="278">
        <f>+$C80*$I$98/100</f>
        <v>15.5</v>
      </c>
      <c r="U80" s="278">
        <f>+SUM(N80:T80)*0.025641</f>
        <v>7.6794795000000002</v>
      </c>
      <c r="V80" s="278">
        <f>SUM(N80:U80)</f>
        <v>307.17947950000001</v>
      </c>
      <c r="W80" s="277">
        <f>+V80-M80</f>
        <v>7.4871793000000366</v>
      </c>
      <c r="X80" s="280">
        <f>+W80/M80</f>
        <v>2.4982888432580549E-2</v>
      </c>
      <c r="Y80" s="284">
        <f>+M80/C80*100</f>
        <v>14.984615009999999</v>
      </c>
      <c r="Z80" s="285">
        <f>+V80/C80*100</f>
        <v>15.358973975000001</v>
      </c>
    </row>
    <row r="81" spans="1:26" x14ac:dyDescent="0.2">
      <c r="A81" s="120">
        <v>18</v>
      </c>
      <c r="B81" s="276"/>
      <c r="C81" s="128"/>
      <c r="D81" s="277"/>
      <c r="E81" s="278"/>
      <c r="F81" s="278"/>
      <c r="G81" s="278"/>
      <c r="H81" s="278"/>
      <c r="I81" s="278"/>
      <c r="J81" s="278"/>
      <c r="K81" s="278"/>
      <c r="L81" s="278"/>
      <c r="M81" s="278"/>
      <c r="N81" s="277"/>
      <c r="O81" s="278"/>
      <c r="P81" s="278"/>
      <c r="Q81" s="278"/>
      <c r="R81" s="278"/>
      <c r="S81" s="278"/>
      <c r="T81" s="278"/>
      <c r="U81" s="278"/>
      <c r="V81" s="278"/>
      <c r="W81" s="277"/>
      <c r="X81" s="280"/>
      <c r="Y81" s="283"/>
      <c r="Z81" s="282"/>
    </row>
    <row r="82" spans="1:26" x14ac:dyDescent="0.2">
      <c r="A82" s="120">
        <v>19</v>
      </c>
      <c r="B82" s="276">
        <v>0</v>
      </c>
      <c r="C82" s="128">
        <v>3000</v>
      </c>
      <c r="D82" s="277">
        <f>+$F$90+C82*$F$92/100</f>
        <v>256.8</v>
      </c>
      <c r="E82" s="278">
        <f>+C82*$F$93/100</f>
        <v>115.29</v>
      </c>
      <c r="F82" s="278">
        <f>+C82*$F$94/100</f>
        <v>5.76</v>
      </c>
      <c r="G82" s="278">
        <f>+C82*$F$95/100</f>
        <v>1.62</v>
      </c>
      <c r="H82" s="278">
        <f>+C82*$F$97/100</f>
        <v>2.5200000000000005</v>
      </c>
      <c r="I82" s="278">
        <f>+$C82*$F$96/100</f>
        <v>12.810000000000002</v>
      </c>
      <c r="J82" s="278">
        <f>+$C82*$F$98/100</f>
        <v>23.25</v>
      </c>
      <c r="K82" s="278">
        <f>+$C82*$F$99/100</f>
        <v>0</v>
      </c>
      <c r="L82" s="278">
        <f>+SUM(D82:K82)*0.025641</f>
        <v>10.719220050000001</v>
      </c>
      <c r="M82" s="278">
        <f>SUM(D82:L82)</f>
        <v>428.76922005</v>
      </c>
      <c r="N82" s="277">
        <f>(+C82*$I$92)/100+$I$90</f>
        <v>267</v>
      </c>
      <c r="O82" s="278">
        <f>+$I$93*$C82/100</f>
        <v>115.29</v>
      </c>
      <c r="P82" s="278">
        <f>+$C82*$I$94/100</f>
        <v>5.76</v>
      </c>
      <c r="Q82" s="278">
        <f>+$C82*$I$95/100</f>
        <v>1.62</v>
      </c>
      <c r="R82" s="278">
        <f>+$C82*$I$97/100</f>
        <v>2.5200000000000005</v>
      </c>
      <c r="S82" s="278">
        <f>+$C82*$I$96/100</f>
        <v>12.810000000000002</v>
      </c>
      <c r="T82" s="278">
        <f>+$C82*$I$98/100</f>
        <v>23.25</v>
      </c>
      <c r="U82" s="278">
        <f>+SUM(N82:T82)*0.025641</f>
        <v>10.980758250000001</v>
      </c>
      <c r="V82" s="278">
        <f>SUM(N82:U82)</f>
        <v>439.23075825000001</v>
      </c>
      <c r="W82" s="277">
        <f>+V82-M82</f>
        <v>10.461538200000007</v>
      </c>
      <c r="X82" s="280">
        <f>+W82/M82</f>
        <v>2.4398995335486201E-2</v>
      </c>
      <c r="Y82" s="284">
        <f>+M82/C82*100</f>
        <v>14.292307335000002</v>
      </c>
      <c r="Z82" s="285">
        <f>+V82/C82*100</f>
        <v>14.641025275000001</v>
      </c>
    </row>
    <row r="83" spans="1:26" x14ac:dyDescent="0.2">
      <c r="A83" s="120">
        <v>20</v>
      </c>
      <c r="B83" s="276"/>
      <c r="C83" s="128"/>
      <c r="D83" s="277"/>
      <c r="E83" s="278"/>
      <c r="F83" s="278"/>
      <c r="G83" s="278"/>
      <c r="H83" s="278"/>
      <c r="I83" s="278"/>
      <c r="J83" s="278"/>
      <c r="K83" s="278"/>
      <c r="L83" s="278"/>
      <c r="M83" s="278"/>
      <c r="N83" s="277"/>
      <c r="O83" s="278"/>
      <c r="P83" s="278"/>
      <c r="Q83" s="278"/>
      <c r="R83" s="278"/>
      <c r="S83" s="278"/>
      <c r="T83" s="278"/>
      <c r="U83" s="278"/>
      <c r="V83" s="278"/>
      <c r="W83" s="277"/>
      <c r="X83" s="280"/>
      <c r="Y83" s="283"/>
      <c r="Z83" s="282"/>
    </row>
    <row r="84" spans="1:26" x14ac:dyDescent="0.2">
      <c r="A84" s="120">
        <v>21</v>
      </c>
      <c r="B84" s="276">
        <v>0</v>
      </c>
      <c r="C84" s="128">
        <v>5000</v>
      </c>
      <c r="D84" s="277">
        <f>+$F$90+C84*$F$92/100</f>
        <v>401</v>
      </c>
      <c r="E84" s="278">
        <f>+C84*$F$93/100</f>
        <v>192.15</v>
      </c>
      <c r="F84" s="278">
        <f>+C84*$F$94/100</f>
        <v>9.6</v>
      </c>
      <c r="G84" s="278">
        <f>+C84*$F$95/100</f>
        <v>2.7</v>
      </c>
      <c r="H84" s="278">
        <f>+C84*$F$97/100</f>
        <v>4.2</v>
      </c>
      <c r="I84" s="278">
        <f>+$C84*$F$96/100</f>
        <v>21.350000000000005</v>
      </c>
      <c r="J84" s="278">
        <f>+$C84*$F$98/100</f>
        <v>38.75</v>
      </c>
      <c r="K84" s="278">
        <f>+$C84*$F$99/100</f>
        <v>0</v>
      </c>
      <c r="L84" s="278">
        <f>+SUM(D84:K84)*0.025641</f>
        <v>17.173059750000004</v>
      </c>
      <c r="M84" s="278">
        <f>SUM(D84:L84)</f>
        <v>686.92305975000011</v>
      </c>
      <c r="N84" s="277">
        <f>(+C84*$I$92)/100+$I$90</f>
        <v>417</v>
      </c>
      <c r="O84" s="278">
        <f>+$I$93*$C84/100</f>
        <v>192.15</v>
      </c>
      <c r="P84" s="278">
        <f>+$C84*$I$94/100</f>
        <v>9.6</v>
      </c>
      <c r="Q84" s="278">
        <f>+$C84*$I$95/100</f>
        <v>2.7</v>
      </c>
      <c r="R84" s="278">
        <f>+$C84*$I$97/100</f>
        <v>4.2</v>
      </c>
      <c r="S84" s="278">
        <f>+$C84*$I$96/100</f>
        <v>21.350000000000005</v>
      </c>
      <c r="T84" s="278">
        <f>+$C84*$I$98/100</f>
        <v>38.75</v>
      </c>
      <c r="U84" s="278">
        <f>+SUM(N84:T84)*0.025641</f>
        <v>17.583315750000004</v>
      </c>
      <c r="V84" s="278">
        <f>SUM(N84:U84)</f>
        <v>703.33331575000011</v>
      </c>
      <c r="W84" s="277">
        <f>+V84-M84</f>
        <v>16.410256000000004</v>
      </c>
      <c r="X84" s="280">
        <f>+W84/M84</f>
        <v>2.3889511011571486E-2</v>
      </c>
      <c r="Y84" s="284">
        <f>+M84/C84*100</f>
        <v>13.738461195000001</v>
      </c>
      <c r="Z84" s="285">
        <f>+V84/C84*100</f>
        <v>14.066666315000001</v>
      </c>
    </row>
    <row r="85" spans="1:26" x14ac:dyDescent="0.2">
      <c r="A85" s="120">
        <v>22</v>
      </c>
      <c r="B85" s="276"/>
      <c r="C85" s="128"/>
      <c r="D85" s="277"/>
      <c r="E85" s="278"/>
      <c r="F85" s="278"/>
      <c r="G85" s="278"/>
      <c r="H85" s="278"/>
      <c r="I85" s="278"/>
      <c r="J85" s="278"/>
      <c r="K85" s="278"/>
      <c r="L85" s="278"/>
      <c r="M85" s="278"/>
      <c r="N85" s="277"/>
      <c r="O85" s="278"/>
      <c r="P85" s="278"/>
      <c r="Q85" s="278"/>
      <c r="R85" s="278"/>
      <c r="S85" s="278"/>
      <c r="T85" s="278"/>
      <c r="U85" s="278"/>
      <c r="V85" s="278"/>
      <c r="W85" s="277"/>
      <c r="X85" s="280"/>
      <c r="Y85" s="283"/>
      <c r="Z85" s="282"/>
    </row>
    <row r="86" spans="1:26" x14ac:dyDescent="0.2">
      <c r="A86" s="120">
        <v>23</v>
      </c>
      <c r="B86" s="276">
        <v>0</v>
      </c>
      <c r="C86" s="128">
        <v>8500</v>
      </c>
      <c r="D86" s="277">
        <f>+$F$90+C86*$F$92/100</f>
        <v>653.35</v>
      </c>
      <c r="E86" s="278">
        <f>+C86*$F$93/100</f>
        <v>326.65499999999997</v>
      </c>
      <c r="F86" s="278">
        <f>+C86*$F$94/100</f>
        <v>16.32</v>
      </c>
      <c r="G86" s="278">
        <f>+C86*$F$95/100</f>
        <v>4.59</v>
      </c>
      <c r="H86" s="278">
        <f>+C86*$F$97/100</f>
        <v>7.14</v>
      </c>
      <c r="I86" s="278">
        <f>+$C86*$F$96/100</f>
        <v>36.295000000000002</v>
      </c>
      <c r="J86" s="278">
        <f>+$C86*$F$98/100</f>
        <v>65.875</v>
      </c>
      <c r="K86" s="278">
        <f>+$C86*$F$99/100</f>
        <v>0</v>
      </c>
      <c r="L86" s="278">
        <f>+SUM(D86:K86)*0.025641</f>
        <v>28.467279225000006</v>
      </c>
      <c r="M86" s="278">
        <f>SUM(D86:L86)</f>
        <v>1138.6922792250002</v>
      </c>
      <c r="N86" s="277">
        <f>(+C86*$I$92)/100+$I$90</f>
        <v>679.5</v>
      </c>
      <c r="O86" s="278">
        <f>+$I$93*$C86/100</f>
        <v>326.65499999999997</v>
      </c>
      <c r="P86" s="278">
        <f>+$C86*$I$94/100</f>
        <v>16.32</v>
      </c>
      <c r="Q86" s="278">
        <f>+$C86*$I$95/100</f>
        <v>4.59</v>
      </c>
      <c r="R86" s="278">
        <f>+$C86*$I$97/100</f>
        <v>7.14</v>
      </c>
      <c r="S86" s="278">
        <f>+$C86*$I$96/100</f>
        <v>36.295000000000002</v>
      </c>
      <c r="T86" s="278">
        <f>+$C86*$I$98/100</f>
        <v>65.875</v>
      </c>
      <c r="U86" s="278">
        <f>+SUM(N86:T86)*0.025641</f>
        <v>29.137791375000006</v>
      </c>
      <c r="V86" s="278">
        <f>SUM(N86:U86)</f>
        <v>1165.5127913750002</v>
      </c>
      <c r="W86" s="277">
        <f>+V86-M86</f>
        <v>26.820512150000013</v>
      </c>
      <c r="X86" s="280">
        <f>+W86/M86</f>
        <v>2.3553784142853935E-2</v>
      </c>
      <c r="Y86" s="284">
        <f>+M86/C86*100</f>
        <v>13.396379755588239</v>
      </c>
      <c r="Z86" s="285">
        <f>+V86/C86*100</f>
        <v>13.711915192647062</v>
      </c>
    </row>
    <row r="87" spans="1:26" x14ac:dyDescent="0.2">
      <c r="A87" s="120">
        <v>24</v>
      </c>
      <c r="B87" s="276"/>
      <c r="C87" s="128"/>
      <c r="D87" s="278"/>
      <c r="E87" s="278"/>
      <c r="F87" s="278"/>
      <c r="G87" s="278"/>
      <c r="H87" s="278"/>
      <c r="I87" s="278"/>
      <c r="J87" s="278"/>
      <c r="K87" s="278"/>
      <c r="L87" s="278"/>
      <c r="M87" s="278"/>
      <c r="N87" s="278"/>
      <c r="O87" s="278"/>
      <c r="P87" s="278"/>
      <c r="Q87" s="278"/>
      <c r="R87" s="278"/>
      <c r="S87" s="278"/>
      <c r="T87" s="278"/>
      <c r="U87" s="278"/>
      <c r="V87" s="278"/>
      <c r="W87" s="280"/>
      <c r="X87" s="285"/>
      <c r="Y87" s="285"/>
    </row>
    <row r="88" spans="1:26" x14ac:dyDescent="0.2">
      <c r="A88" s="120">
        <v>25</v>
      </c>
      <c r="B88" s="276"/>
      <c r="C88" s="128"/>
      <c r="D88" s="288"/>
      <c r="E88" s="288"/>
      <c r="F88" s="288"/>
      <c r="G88" s="288"/>
      <c r="H88" s="288"/>
      <c r="I88" s="288"/>
      <c r="J88" s="288"/>
      <c r="K88" s="288"/>
      <c r="L88" s="288"/>
      <c r="M88" s="288"/>
      <c r="N88" s="288"/>
      <c r="O88" s="288"/>
      <c r="P88" s="288"/>
      <c r="Q88" s="288"/>
      <c r="R88" s="288"/>
      <c r="S88" s="288"/>
      <c r="T88" s="288"/>
      <c r="U88" s="288"/>
      <c r="V88" s="288"/>
      <c r="W88" s="291"/>
      <c r="X88" s="292"/>
      <c r="Y88" s="282"/>
    </row>
    <row r="89" spans="1:26" x14ac:dyDescent="0.2">
      <c r="A89" s="120">
        <v>26</v>
      </c>
      <c r="B89" s="276"/>
      <c r="C89" s="120"/>
      <c r="D89" s="120"/>
      <c r="E89" s="120"/>
      <c r="F89" s="374" t="s">
        <v>1339</v>
      </c>
      <c r="G89" s="374"/>
      <c r="H89" s="120"/>
      <c r="I89" s="374" t="s">
        <v>1351</v>
      </c>
      <c r="J89" s="374"/>
      <c r="K89" s="120"/>
      <c r="O89" s="113"/>
      <c r="P89" s="128"/>
      <c r="Q89" s="128"/>
      <c r="R89" s="128"/>
      <c r="S89" s="128"/>
      <c r="T89" s="128"/>
      <c r="U89" s="128"/>
      <c r="V89" s="128"/>
      <c r="W89" s="128"/>
      <c r="X89" s="128"/>
      <c r="Y89" s="128"/>
    </row>
    <row r="90" spans="1:26" x14ac:dyDescent="0.2">
      <c r="A90" s="120">
        <v>27</v>
      </c>
      <c r="B90" s="276"/>
      <c r="C90" s="116" t="s">
        <v>1352</v>
      </c>
      <c r="D90" s="120"/>
      <c r="E90" s="120"/>
      <c r="F90" s="286">
        <f>ROUND(+'2027 GS Rate Class E-13c'!J19,2)*30</f>
        <v>40.5</v>
      </c>
      <c r="G90" s="116" t="s">
        <v>1353</v>
      </c>
      <c r="H90" s="120"/>
      <c r="I90" s="286">
        <f>+ROUND('2027 GS Rate Class E-13c'!Q19,2)*30</f>
        <v>42</v>
      </c>
      <c r="J90" s="116" t="s">
        <v>1353</v>
      </c>
      <c r="K90" s="116"/>
      <c r="L90" s="286"/>
      <c r="P90" s="128"/>
      <c r="Q90" s="128"/>
      <c r="T90" s="128"/>
      <c r="U90" s="128"/>
      <c r="V90" s="128"/>
      <c r="W90" s="128"/>
      <c r="X90" s="128"/>
      <c r="Y90" s="128"/>
    </row>
    <row r="91" spans="1:26" x14ac:dyDescent="0.2">
      <c r="A91" s="120">
        <v>28</v>
      </c>
      <c r="B91" s="276"/>
      <c r="C91" s="116" t="s">
        <v>1354</v>
      </c>
      <c r="D91" s="120"/>
      <c r="E91" s="120"/>
      <c r="F91" s="286">
        <v>0</v>
      </c>
      <c r="G91" s="116" t="s">
        <v>1355</v>
      </c>
      <c r="H91" s="120"/>
      <c r="I91" s="286">
        <v>0</v>
      </c>
      <c r="J91" s="116" t="s">
        <v>1355</v>
      </c>
      <c r="K91" s="116"/>
      <c r="L91" s="287"/>
      <c r="P91" s="128"/>
      <c r="T91" s="128"/>
      <c r="U91" s="128"/>
      <c r="V91" s="128"/>
      <c r="W91" s="128"/>
      <c r="X91" s="128"/>
      <c r="Y91" s="128"/>
    </row>
    <row r="92" spans="1:26" x14ac:dyDescent="0.2">
      <c r="A92" s="120">
        <v>29</v>
      </c>
      <c r="B92" s="276"/>
      <c r="C92" s="116" t="s">
        <v>1356</v>
      </c>
      <c r="D92" s="120"/>
      <c r="E92" s="120"/>
      <c r="F92" s="289">
        <f>+ROUND('2027 GS Rate Class E-13c'!J25,5)*100</f>
        <v>7.21</v>
      </c>
      <c r="G92" s="116" t="s">
        <v>1358</v>
      </c>
      <c r="H92" s="120"/>
      <c r="I92" s="289">
        <f>+ROUND('2027 GS Rate Class E-13c'!Q25,5)*100</f>
        <v>7.5</v>
      </c>
      <c r="J92" s="116" t="s">
        <v>1358</v>
      </c>
      <c r="K92" s="116"/>
      <c r="L92" s="289"/>
      <c r="P92" s="128"/>
      <c r="Q92" s="128"/>
      <c r="T92" s="128"/>
      <c r="U92" s="128"/>
      <c r="V92" s="128"/>
      <c r="W92" s="128"/>
      <c r="X92" s="128"/>
      <c r="Y92" s="128"/>
    </row>
    <row r="93" spans="1:26" x14ac:dyDescent="0.2">
      <c r="A93" s="120">
        <v>30</v>
      </c>
      <c r="B93" s="276"/>
      <c r="C93" s="116" t="s">
        <v>1372</v>
      </c>
      <c r="F93" s="289">
        <f>0.03843*100</f>
        <v>3.843</v>
      </c>
      <c r="G93" s="116" t="s">
        <v>1358</v>
      </c>
      <c r="I93" s="289">
        <f t="shared" ref="I93:I98" si="1">+F93</f>
        <v>3.843</v>
      </c>
      <c r="J93" s="116" t="s">
        <v>1358</v>
      </c>
      <c r="K93" s="116"/>
      <c r="L93" s="289"/>
      <c r="P93" s="128"/>
      <c r="Q93" s="128"/>
      <c r="T93" s="128"/>
      <c r="U93" s="128"/>
      <c r="V93" s="128"/>
      <c r="W93" s="128"/>
      <c r="X93" s="128"/>
      <c r="Y93" s="128"/>
    </row>
    <row r="94" spans="1:26" x14ac:dyDescent="0.2">
      <c r="A94" s="120">
        <v>31</v>
      </c>
      <c r="B94" s="276"/>
      <c r="C94" s="116" t="s">
        <v>1361</v>
      </c>
      <c r="D94" s="120"/>
      <c r="E94" s="120"/>
      <c r="F94" s="289">
        <f>0.00192*100</f>
        <v>0.192</v>
      </c>
      <c r="G94" s="116" t="s">
        <v>1358</v>
      </c>
      <c r="H94" s="120"/>
      <c r="I94" s="289">
        <f t="shared" si="1"/>
        <v>0.192</v>
      </c>
      <c r="J94" s="116" t="s">
        <v>1358</v>
      </c>
      <c r="K94" s="116"/>
      <c r="L94" s="289"/>
      <c r="P94" s="128"/>
      <c r="Q94" s="128"/>
      <c r="T94" s="128"/>
      <c r="U94" s="128"/>
      <c r="V94" s="128"/>
      <c r="W94" s="128"/>
      <c r="X94" s="128"/>
      <c r="Y94" s="128"/>
    </row>
    <row r="95" spans="1:26" x14ac:dyDescent="0.2">
      <c r="A95" s="120">
        <v>32</v>
      </c>
      <c r="B95" s="276"/>
      <c r="C95" s="116" t="s">
        <v>1362</v>
      </c>
      <c r="D95" s="120"/>
      <c r="E95" s="120"/>
      <c r="F95" s="289">
        <f>0.00054*100</f>
        <v>5.3999999999999999E-2</v>
      </c>
      <c r="G95" s="116" t="s">
        <v>1358</v>
      </c>
      <c r="I95" s="289">
        <f t="shared" si="1"/>
        <v>5.3999999999999999E-2</v>
      </c>
      <c r="J95" s="116" t="s">
        <v>1358</v>
      </c>
      <c r="K95" s="116"/>
      <c r="L95" s="289"/>
      <c r="P95" s="128"/>
      <c r="Q95" s="128"/>
      <c r="R95" s="128"/>
      <c r="S95" s="128"/>
      <c r="T95" s="128"/>
      <c r="U95" s="128"/>
      <c r="V95" s="128"/>
      <c r="W95" s="128"/>
      <c r="X95" s="128"/>
      <c r="Y95" s="128"/>
    </row>
    <row r="96" spans="1:26" x14ac:dyDescent="0.2">
      <c r="A96" s="120">
        <v>33</v>
      </c>
      <c r="B96" s="276"/>
      <c r="C96" s="116" t="s">
        <v>1363</v>
      </c>
      <c r="D96" s="120"/>
      <c r="E96" s="120"/>
      <c r="F96" s="289">
        <f>0.00427*100</f>
        <v>0.42700000000000005</v>
      </c>
      <c r="G96" s="116" t="s">
        <v>1358</v>
      </c>
      <c r="I96" s="289">
        <f t="shared" si="1"/>
        <v>0.42700000000000005</v>
      </c>
      <c r="J96" s="116" t="s">
        <v>1358</v>
      </c>
      <c r="K96" s="116"/>
      <c r="L96" s="289"/>
      <c r="P96" s="128"/>
      <c r="Q96" s="128"/>
      <c r="R96" s="128"/>
      <c r="S96" s="128"/>
      <c r="T96" s="128"/>
      <c r="U96" s="128"/>
      <c r="V96" s="128"/>
      <c r="W96" s="128"/>
      <c r="X96" s="128"/>
      <c r="Y96" s="128"/>
    </row>
    <row r="97" spans="1:26" x14ac:dyDescent="0.2">
      <c r="A97" s="120">
        <v>34</v>
      </c>
      <c r="B97" s="276"/>
      <c r="C97" s="116" t="s">
        <v>1364</v>
      </c>
      <c r="D97" s="120"/>
      <c r="E97" s="120"/>
      <c r="F97" s="289">
        <f>0.00084*100</f>
        <v>8.4000000000000005E-2</v>
      </c>
      <c r="G97" s="116" t="s">
        <v>1358</v>
      </c>
      <c r="H97" s="126"/>
      <c r="I97" s="289">
        <f t="shared" si="1"/>
        <v>8.4000000000000005E-2</v>
      </c>
      <c r="J97" s="116" t="s">
        <v>1358</v>
      </c>
      <c r="K97" s="116"/>
      <c r="L97" s="289"/>
      <c r="P97" s="128"/>
      <c r="Q97" s="128"/>
      <c r="R97" s="128"/>
      <c r="S97" s="128"/>
      <c r="T97" s="128"/>
      <c r="U97" s="128"/>
      <c r="V97" s="128"/>
      <c r="W97" s="128"/>
      <c r="X97" s="128"/>
      <c r="Y97" s="128"/>
    </row>
    <row r="98" spans="1:26" x14ac:dyDescent="0.2">
      <c r="A98" s="120">
        <v>35</v>
      </c>
      <c r="B98" s="276"/>
      <c r="C98" s="116" t="s">
        <v>1365</v>
      </c>
      <c r="D98" s="120"/>
      <c r="E98" s="120"/>
      <c r="F98" s="289">
        <f>0.00775*100</f>
        <v>0.77500000000000002</v>
      </c>
      <c r="G98" s="116" t="s">
        <v>1358</v>
      </c>
      <c r="H98" s="126"/>
      <c r="I98" s="289">
        <f t="shared" si="1"/>
        <v>0.77500000000000002</v>
      </c>
      <c r="J98" s="116" t="s">
        <v>1358</v>
      </c>
      <c r="K98" s="116"/>
      <c r="L98" s="289"/>
      <c r="P98" s="128"/>
      <c r="Q98" s="128"/>
      <c r="R98" s="128"/>
      <c r="S98" s="128"/>
      <c r="T98" s="128"/>
      <c r="U98" s="128"/>
      <c r="V98" s="128"/>
      <c r="W98" s="128"/>
      <c r="X98" s="128"/>
      <c r="Y98" s="128"/>
    </row>
    <row r="99" spans="1:26" x14ac:dyDescent="0.2">
      <c r="A99" s="120">
        <v>36</v>
      </c>
      <c r="B99" s="113"/>
      <c r="C99" s="116" t="s">
        <v>1366</v>
      </c>
      <c r="D99" s="120"/>
      <c r="E99" s="120"/>
      <c r="F99" s="289">
        <v>0</v>
      </c>
      <c r="G99" s="116" t="s">
        <v>1358</v>
      </c>
      <c r="H99" s="126"/>
      <c r="I99" s="289"/>
      <c r="J99" s="116"/>
      <c r="P99" s="126"/>
      <c r="Q99" s="126"/>
      <c r="R99" s="126"/>
      <c r="S99" s="126"/>
      <c r="T99" s="126"/>
      <c r="U99" s="126"/>
      <c r="V99" s="126"/>
      <c r="W99" s="126"/>
      <c r="X99" s="126"/>
      <c r="Y99" s="126"/>
    </row>
    <row r="100" spans="1:26" x14ac:dyDescent="0.2">
      <c r="A100" s="120">
        <v>37</v>
      </c>
      <c r="B100" s="113"/>
      <c r="C100" s="128"/>
      <c r="P100" s="126"/>
      <c r="Q100" s="126"/>
      <c r="R100" s="126"/>
      <c r="S100" s="126"/>
      <c r="T100" s="126"/>
      <c r="U100" s="126"/>
      <c r="V100" s="126"/>
      <c r="W100" s="126"/>
      <c r="X100" s="126"/>
      <c r="Y100" s="126"/>
    </row>
    <row r="101" spans="1:26" x14ac:dyDescent="0.2">
      <c r="A101" s="120">
        <v>38</v>
      </c>
      <c r="B101" s="113"/>
      <c r="C101" s="128" t="s">
        <v>1367</v>
      </c>
      <c r="O101" s="126"/>
      <c r="P101" s="126"/>
      <c r="Q101" s="126"/>
      <c r="R101" s="126"/>
      <c r="S101" s="126"/>
      <c r="T101" s="126"/>
      <c r="U101" s="126"/>
      <c r="V101" s="126"/>
      <c r="W101" s="126"/>
      <c r="X101" s="126"/>
      <c r="Y101" s="126"/>
    </row>
    <row r="102" spans="1:26" x14ac:dyDescent="0.2">
      <c r="A102" s="120">
        <v>41</v>
      </c>
      <c r="B102" s="113"/>
      <c r="C102" s="128"/>
      <c r="E102" s="113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  <c r="W102" s="126"/>
      <c r="X102" s="126"/>
      <c r="Y102" s="126"/>
    </row>
    <row r="103" spans="1:26" ht="13.5" thickBot="1" x14ac:dyDescent="0.25">
      <c r="A103" s="120">
        <v>42</v>
      </c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264"/>
    </row>
    <row r="104" spans="1:26" x14ac:dyDescent="0.2">
      <c r="A104" s="113" t="str">
        <f>+'A-2 for RS_GS_GSD'!$A$52</f>
        <v>Supporting Schedules:  E-13c, E-14 Supplement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 t="s">
        <v>1369</v>
      </c>
      <c r="X104" s="113"/>
      <c r="Y104" s="113"/>
    </row>
    <row r="105" spans="1:26" ht="13.5" thickBot="1" x14ac:dyDescent="0.25">
      <c r="A105" s="114" t="s">
        <v>1295</v>
      </c>
      <c r="B105" s="114"/>
      <c r="C105" s="114"/>
      <c r="D105" s="114"/>
      <c r="E105" s="114"/>
      <c r="F105" s="114"/>
      <c r="G105" s="114"/>
      <c r="H105" s="114" t="s">
        <v>1296</v>
      </c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 t="s">
        <v>1373</v>
      </c>
      <c r="Z105" s="264"/>
    </row>
    <row r="106" spans="1:26" x14ac:dyDescent="0.2">
      <c r="A106" s="113" t="s">
        <v>307</v>
      </c>
      <c r="B106" s="113"/>
      <c r="C106" s="113"/>
      <c r="D106" s="113"/>
      <c r="E106" s="113"/>
      <c r="F106" s="113" t="s">
        <v>1298</v>
      </c>
      <c r="G106" s="113"/>
      <c r="H106" s="113" t="s">
        <v>1299</v>
      </c>
      <c r="I106" s="113"/>
      <c r="J106" s="113"/>
      <c r="K106" s="113"/>
      <c r="L106" s="113"/>
      <c r="M106" s="115"/>
      <c r="N106" s="115"/>
      <c r="O106" s="113"/>
      <c r="P106" s="115"/>
      <c r="Q106" s="115"/>
      <c r="R106" s="115"/>
      <c r="S106" s="115"/>
      <c r="T106" s="115"/>
      <c r="U106" s="115"/>
      <c r="V106" s="115" t="s">
        <v>845</v>
      </c>
      <c r="W106" s="113"/>
      <c r="X106" s="113"/>
      <c r="Y106" s="116"/>
    </row>
    <row r="107" spans="1:26" x14ac:dyDescent="0.2">
      <c r="A107" s="113"/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7"/>
      <c r="N107" s="116"/>
      <c r="O107" s="113"/>
      <c r="P107" s="113"/>
      <c r="Q107" s="113"/>
      <c r="R107" s="113"/>
      <c r="S107" s="113"/>
      <c r="T107" s="113"/>
      <c r="U107" s="117"/>
      <c r="V107" s="117" t="s">
        <v>916</v>
      </c>
      <c r="W107" s="116" t="s">
        <v>1512</v>
      </c>
      <c r="X107" s="113"/>
      <c r="Y107" s="117"/>
    </row>
    <row r="108" spans="1:26" x14ac:dyDescent="0.2">
      <c r="A108" s="113" t="s">
        <v>310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7"/>
      <c r="N108" s="116"/>
      <c r="O108" s="117"/>
      <c r="P108" s="113"/>
      <c r="Q108" s="113"/>
      <c r="R108" s="113"/>
      <c r="S108" s="113"/>
      <c r="T108" s="113"/>
      <c r="U108" s="113"/>
      <c r="W108" s="116"/>
      <c r="X108" s="113"/>
      <c r="Y108" s="117"/>
    </row>
    <row r="109" spans="1:26" x14ac:dyDescent="0.2">
      <c r="A109" s="113"/>
      <c r="B109" s="113"/>
      <c r="C109" s="113"/>
      <c r="D109" s="113"/>
      <c r="E109" s="113"/>
      <c r="F109" s="113"/>
      <c r="G109" s="372" t="s">
        <v>1374</v>
      </c>
      <c r="H109" s="372"/>
      <c r="I109" s="372"/>
      <c r="J109" s="372"/>
      <c r="K109" s="372"/>
      <c r="L109" s="372"/>
      <c r="M109" s="372"/>
      <c r="N109" s="372"/>
      <c r="O109" s="372"/>
      <c r="P109" s="372"/>
      <c r="Q109" s="372"/>
      <c r="R109" s="113"/>
      <c r="S109" s="113"/>
      <c r="T109" s="113"/>
      <c r="U109" s="113"/>
      <c r="W109" s="116"/>
      <c r="X109" s="113"/>
      <c r="Y109" s="117"/>
    </row>
    <row r="110" spans="1:26" ht="13.5" thickBot="1" x14ac:dyDescent="0.25">
      <c r="A110" s="114" t="s">
        <v>1520</v>
      </c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8"/>
      <c r="N110" s="114"/>
      <c r="O110" s="114"/>
      <c r="P110" s="114"/>
      <c r="Q110" s="114"/>
      <c r="R110" s="114"/>
      <c r="S110" s="114"/>
      <c r="T110" s="114"/>
      <c r="U110" s="114"/>
      <c r="V110" s="264"/>
      <c r="W110" s="114" t="s">
        <v>1519</v>
      </c>
      <c r="X110" s="114"/>
      <c r="Y110" s="114"/>
      <c r="Z110" s="264"/>
    </row>
    <row r="111" spans="1:26" x14ac:dyDescent="0.2">
      <c r="A111" s="113"/>
      <c r="B111" s="373" t="s">
        <v>1301</v>
      </c>
      <c r="C111" s="373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</row>
    <row r="112" spans="1:26" x14ac:dyDescent="0.2">
      <c r="A112" s="113"/>
      <c r="B112" s="374" t="s">
        <v>816</v>
      </c>
      <c r="C112" s="374"/>
      <c r="D112" s="375" t="s">
        <v>1302</v>
      </c>
      <c r="E112" s="375"/>
      <c r="F112" s="375"/>
      <c r="G112" s="375"/>
      <c r="H112" s="375"/>
      <c r="I112" s="375"/>
      <c r="J112" s="375"/>
      <c r="K112" s="375"/>
      <c r="L112" s="375"/>
      <c r="M112" s="375"/>
      <c r="N112" s="375" t="s">
        <v>1303</v>
      </c>
      <c r="O112" s="375"/>
      <c r="P112" s="375"/>
      <c r="Q112" s="375"/>
      <c r="R112" s="375"/>
      <c r="S112" s="375"/>
      <c r="T112" s="375"/>
      <c r="U112" s="375"/>
      <c r="W112" s="375" t="s">
        <v>1304</v>
      </c>
      <c r="X112" s="375"/>
      <c r="Y112" s="375" t="s">
        <v>1305</v>
      </c>
      <c r="Z112" s="375"/>
    </row>
    <row r="113" spans="1:26" x14ac:dyDescent="0.2">
      <c r="A113" s="113"/>
      <c r="B113" s="120" t="s">
        <v>846</v>
      </c>
      <c r="C113" s="120" t="s">
        <v>847</v>
      </c>
      <c r="D113" s="267" t="s">
        <v>848</v>
      </c>
      <c r="E113" s="120" t="s">
        <v>849</v>
      </c>
      <c r="F113" s="120" t="s">
        <v>1306</v>
      </c>
      <c r="G113" s="119" t="s">
        <v>1307</v>
      </c>
      <c r="H113" s="119" t="s">
        <v>1308</v>
      </c>
      <c r="I113" s="119" t="s">
        <v>1309</v>
      </c>
      <c r="J113" s="119" t="s">
        <v>1310</v>
      </c>
      <c r="K113" s="268" t="s">
        <v>1311</v>
      </c>
      <c r="L113" s="268" t="s">
        <v>1312</v>
      </c>
      <c r="M113" s="269" t="s">
        <v>1313</v>
      </c>
      <c r="N113" s="119" t="s">
        <v>1314</v>
      </c>
      <c r="O113" s="119" t="s">
        <v>1315</v>
      </c>
      <c r="P113" s="119" t="s">
        <v>1316</v>
      </c>
      <c r="Q113" s="119" t="s">
        <v>1317</v>
      </c>
      <c r="R113" s="119" t="s">
        <v>1318</v>
      </c>
      <c r="S113" s="119" t="s">
        <v>1319</v>
      </c>
      <c r="T113" s="119" t="s">
        <v>1320</v>
      </c>
      <c r="U113" s="268" t="s">
        <v>1321</v>
      </c>
      <c r="V113" s="269" t="s">
        <v>1322</v>
      </c>
      <c r="W113" s="269" t="s">
        <v>1323</v>
      </c>
      <c r="X113" s="119" t="s">
        <v>1324</v>
      </c>
      <c r="Y113" s="119" t="s">
        <v>1325</v>
      </c>
      <c r="Z113" s="119" t="s">
        <v>1326</v>
      </c>
    </row>
    <row r="114" spans="1:26" x14ac:dyDescent="0.2">
      <c r="A114" s="120" t="s">
        <v>313</v>
      </c>
      <c r="B114" s="120" t="s">
        <v>1327</v>
      </c>
      <c r="C114" s="120"/>
      <c r="D114" s="270" t="s">
        <v>1328</v>
      </c>
      <c r="E114" s="120" t="s">
        <v>1329</v>
      </c>
      <c r="F114" s="120" t="s">
        <v>1330</v>
      </c>
      <c r="G114" s="119" t="s">
        <v>1331</v>
      </c>
      <c r="H114" s="120" t="s">
        <v>1332</v>
      </c>
      <c r="I114" s="120" t="s">
        <v>1333</v>
      </c>
      <c r="J114" s="120" t="s">
        <v>1334</v>
      </c>
      <c r="K114" s="120" t="s">
        <v>1335</v>
      </c>
      <c r="L114" s="120" t="s">
        <v>1336</v>
      </c>
      <c r="M114" s="271" t="s">
        <v>717</v>
      </c>
      <c r="N114" s="120" t="s">
        <v>1328</v>
      </c>
      <c r="O114" s="120" t="s">
        <v>1329</v>
      </c>
      <c r="P114" s="119" t="s">
        <v>1330</v>
      </c>
      <c r="Q114" s="119" t="s">
        <v>1331</v>
      </c>
      <c r="R114" s="120" t="s">
        <v>1332</v>
      </c>
      <c r="S114" s="120" t="s">
        <v>1333</v>
      </c>
      <c r="T114" s="120" t="s">
        <v>1334</v>
      </c>
      <c r="U114" s="120" t="s">
        <v>1336</v>
      </c>
      <c r="V114" s="271" t="s">
        <v>717</v>
      </c>
      <c r="W114" s="119" t="s">
        <v>1337</v>
      </c>
      <c r="X114" s="271" t="s">
        <v>1338</v>
      </c>
      <c r="Y114" s="120" t="s">
        <v>1339</v>
      </c>
      <c r="Z114" s="120" t="s">
        <v>1340</v>
      </c>
    </row>
    <row r="115" spans="1:26" ht="13.5" thickBot="1" x14ac:dyDescent="0.25">
      <c r="A115" s="118" t="s">
        <v>319</v>
      </c>
      <c r="B115" s="272" t="s">
        <v>1341</v>
      </c>
      <c r="C115" s="273" t="s">
        <v>1342</v>
      </c>
      <c r="D115" s="274" t="s">
        <v>1343</v>
      </c>
      <c r="E115" s="273" t="s">
        <v>1344</v>
      </c>
      <c r="F115" s="273" t="s">
        <v>1344</v>
      </c>
      <c r="G115" s="121" t="s">
        <v>1344</v>
      </c>
      <c r="H115" s="273" t="s">
        <v>1344</v>
      </c>
      <c r="I115" s="273" t="s">
        <v>1345</v>
      </c>
      <c r="J115" s="273" t="s">
        <v>1344</v>
      </c>
      <c r="K115" s="273" t="s">
        <v>1346</v>
      </c>
      <c r="L115" s="273" t="s">
        <v>1344</v>
      </c>
      <c r="M115" s="275"/>
      <c r="N115" s="121" t="s">
        <v>1343</v>
      </c>
      <c r="O115" s="121" t="s">
        <v>1344</v>
      </c>
      <c r="P115" s="121" t="s">
        <v>1344</v>
      </c>
      <c r="Q115" s="121" t="s">
        <v>1344</v>
      </c>
      <c r="R115" s="273" t="s">
        <v>1344</v>
      </c>
      <c r="S115" s="273" t="s">
        <v>1345</v>
      </c>
      <c r="T115" s="273" t="s">
        <v>1344</v>
      </c>
      <c r="U115" s="273" t="s">
        <v>1344</v>
      </c>
      <c r="V115" s="275"/>
      <c r="W115" s="273" t="s">
        <v>1347</v>
      </c>
      <c r="X115" s="275" t="s">
        <v>1348</v>
      </c>
      <c r="Y115" s="118" t="s">
        <v>1349</v>
      </c>
      <c r="Z115" s="118" t="s">
        <v>1350</v>
      </c>
    </row>
    <row r="116" spans="1:26" x14ac:dyDescent="0.2">
      <c r="A116" s="120">
        <v>1</v>
      </c>
      <c r="B116" s="293">
        <v>75</v>
      </c>
      <c r="C116" s="128">
        <f>+B116*730*0.2</f>
        <v>10950</v>
      </c>
      <c r="D116" s="279">
        <f>+$I$134+($I$135*$B116+$I$138*$C116)/100</f>
        <v>1029.3690000000001</v>
      </c>
      <c r="E116" s="278">
        <f>+$C116*$I$142/100</f>
        <v>420.80849999999998</v>
      </c>
      <c r="F116" s="278">
        <f>+$C116*$I$145/100</f>
        <v>19.162500000000001</v>
      </c>
      <c r="G116" s="278">
        <f>+$C116*$I$146/100</f>
        <v>5.2560000000000002</v>
      </c>
      <c r="H116" s="278">
        <f>+$C116*$I$148/100</f>
        <v>8.8694999999999986</v>
      </c>
      <c r="I116" s="278">
        <f>+$C116*$I$147/100</f>
        <v>29.127000000000002</v>
      </c>
      <c r="J116" s="278">
        <f>C116*I149/100</f>
        <v>18.834</v>
      </c>
      <c r="K116" s="278">
        <f>C116*$I$150/100</f>
        <v>5.694</v>
      </c>
      <c r="L116" s="278">
        <f>+SUM(D116:K116)*0.025641</f>
        <v>39.413306740500005</v>
      </c>
      <c r="M116" s="278">
        <f>SUM(D116:L116)</f>
        <v>1576.5338067405003</v>
      </c>
      <c r="N116" s="279">
        <f>+$P$134+$P$135*$B116+$P$138/100*$C116</f>
        <v>1070.97</v>
      </c>
      <c r="O116" s="278">
        <f>+$C116*$P$142/100</f>
        <v>420.80849999999998</v>
      </c>
      <c r="P116" s="278">
        <f>+$C116*$P$145/100</f>
        <v>19.162500000000001</v>
      </c>
      <c r="Q116" s="278">
        <f>+$C116*$P$146/100</f>
        <v>5.2560000000000002</v>
      </c>
      <c r="R116" s="278">
        <f>+$C116*$P$148/100</f>
        <v>8.8694999999999986</v>
      </c>
      <c r="S116" s="278">
        <f>+$C116*$P$147/100</f>
        <v>29.127000000000002</v>
      </c>
      <c r="T116" s="278">
        <f>C116*$P$149/100</f>
        <v>18.834</v>
      </c>
      <c r="U116" s="278">
        <f>+SUM(N116:T116)*0.025641</f>
        <v>40.333998127499996</v>
      </c>
      <c r="V116" s="278">
        <f>SUM(N116:U116)</f>
        <v>1613.3614981275</v>
      </c>
      <c r="W116" s="279">
        <f>+V116-M116</f>
        <v>36.827691386999732</v>
      </c>
      <c r="X116" s="280">
        <f>+W116/M116</f>
        <v>2.3359912251511662E-2</v>
      </c>
      <c r="Y116" s="294">
        <f>(+M116*100)/C116</f>
        <v>14.397569011328768</v>
      </c>
      <c r="Z116" s="288">
        <f>(+V116*100)/C116</f>
        <v>14.733894960068493</v>
      </c>
    </row>
    <row r="117" spans="1:26" x14ac:dyDescent="0.2">
      <c r="A117" s="120">
        <v>2</v>
      </c>
      <c r="B117" s="293">
        <v>75</v>
      </c>
      <c r="C117" s="128">
        <f>+B117*730*0.35</f>
        <v>19162.5</v>
      </c>
      <c r="D117" s="277">
        <f>+$F$134+$F$135*$B117+($F$138*$C117)/100</f>
        <v>1770.7908749999999</v>
      </c>
      <c r="E117" s="278">
        <f>+$C117*$F$142/100</f>
        <v>736.41487500000005</v>
      </c>
      <c r="F117" s="278">
        <f>+$B117*$F$145</f>
        <v>54.75</v>
      </c>
      <c r="G117" s="278">
        <f>+$B117*$F$146</f>
        <v>15</v>
      </c>
      <c r="H117" s="278">
        <f>+$C117*$F$148/100</f>
        <v>15.521624999999997</v>
      </c>
      <c r="I117" s="278">
        <f>+$B117*$F$147</f>
        <v>84.000000000000014</v>
      </c>
      <c r="J117" s="278">
        <f>B117*F149</f>
        <v>54</v>
      </c>
      <c r="K117" s="278">
        <f>+$C117*$F$150/100</f>
        <v>0</v>
      </c>
      <c r="L117" s="278">
        <f t="shared" ref="L117:L119" si="2">+SUM(D117:K117)*0.025641</f>
        <v>70.012170372374996</v>
      </c>
      <c r="M117" s="278">
        <f>SUM(D117:L117)</f>
        <v>2800.4895453723748</v>
      </c>
      <c r="N117" s="277">
        <f>+$M$134+$M$135*$B117+$M$138/100*$C117</f>
        <v>1841.7645</v>
      </c>
      <c r="O117" s="278">
        <f>+$C117*$M$142/100</f>
        <v>736.41487500000005</v>
      </c>
      <c r="P117" s="278">
        <f>+$B117*$M$145</f>
        <v>54.75</v>
      </c>
      <c r="Q117" s="278">
        <f>+$B117*$M$146</f>
        <v>15</v>
      </c>
      <c r="R117" s="278">
        <f>+$C117*$M$148/100</f>
        <v>15.521624999999997</v>
      </c>
      <c r="S117" s="278">
        <f>+$B117*$M$147</f>
        <v>84.000000000000014</v>
      </c>
      <c r="T117" s="278">
        <f>B117*$M$149</f>
        <v>54</v>
      </c>
      <c r="U117" s="278">
        <f>+SUM(N117:T117)*0.025641</f>
        <v>71.832005090999999</v>
      </c>
      <c r="V117" s="278">
        <f>SUM(N117:U117)</f>
        <v>2873.2830050910002</v>
      </c>
      <c r="W117" s="277">
        <f>+V117-M117</f>
        <v>72.7934597186254</v>
      </c>
      <c r="X117" s="280">
        <f>+W117/M117</f>
        <v>2.5993119609716741E-2</v>
      </c>
      <c r="Y117" s="295">
        <f>(+M117*100)/C117</f>
        <v>14.614426851258315</v>
      </c>
      <c r="Z117" s="288">
        <f>(+V117*100)/C117</f>
        <v>14.994301396430529</v>
      </c>
    </row>
    <row r="118" spans="1:26" x14ac:dyDescent="0.2">
      <c r="A118" s="120">
        <v>3</v>
      </c>
      <c r="B118" s="293">
        <v>75</v>
      </c>
      <c r="C118" s="128">
        <f>+B118*730*0.6</f>
        <v>32850</v>
      </c>
      <c r="D118" s="277">
        <f>+$F$134+$F$135*$B118+($F$138*$C118)/100</f>
        <v>1882.8915</v>
      </c>
      <c r="E118" s="278">
        <f>+$C118*$F$142/100</f>
        <v>1262.4255000000001</v>
      </c>
      <c r="F118" s="278">
        <f>+$B118*$F$145</f>
        <v>54.75</v>
      </c>
      <c r="G118" s="278">
        <f>+$B118*$F$146</f>
        <v>15</v>
      </c>
      <c r="H118" s="278">
        <f>+$C118*$F$148/100</f>
        <v>26.608499999999996</v>
      </c>
      <c r="I118" s="278">
        <f>+$B118*$F$147</f>
        <v>84.000000000000014</v>
      </c>
      <c r="J118" s="278">
        <f>B118*F149</f>
        <v>54</v>
      </c>
      <c r="K118" s="278">
        <f>+$C118*$F$150/100</f>
        <v>0</v>
      </c>
      <c r="L118" s="278">
        <f t="shared" si="2"/>
        <v>86.658259495500005</v>
      </c>
      <c r="M118" s="278">
        <f>SUM(D118:L118)</f>
        <v>3466.3337594954996</v>
      </c>
      <c r="N118" s="277">
        <f>+$M$134+$M$135*$B118+$M$138/100*$C118</f>
        <v>1958.3820000000001</v>
      </c>
      <c r="O118" s="278">
        <f>+$C118*$M$142/100</f>
        <v>1262.4255000000001</v>
      </c>
      <c r="P118" s="278">
        <f>+$B118*$M$145</f>
        <v>54.75</v>
      </c>
      <c r="Q118" s="278">
        <f>+$B118*$M$146</f>
        <v>15</v>
      </c>
      <c r="R118" s="278">
        <f>+$C118*$M$148/100</f>
        <v>26.608499999999996</v>
      </c>
      <c r="S118" s="278">
        <f>+$B118*$M$147</f>
        <v>84.000000000000014</v>
      </c>
      <c r="T118" s="278">
        <f>B118*$M$149</f>
        <v>54</v>
      </c>
      <c r="U118" s="278">
        <f>+SUM(N118:T118)*0.025641</f>
        <v>88.593911405999989</v>
      </c>
      <c r="V118" s="278">
        <f>SUM(N118:U118)</f>
        <v>3543.7599114059999</v>
      </c>
      <c r="W118" s="277">
        <f>+V118-M118</f>
        <v>77.426151910500266</v>
      </c>
      <c r="X118" s="280">
        <f>+W118/M118</f>
        <v>2.2336611902533325E-2</v>
      </c>
      <c r="Y118" s="295">
        <f>(+M118*100)/C118</f>
        <v>10.552005356150683</v>
      </c>
      <c r="Z118" s="288">
        <f>(+V118*100)/C118</f>
        <v>10.787701404584475</v>
      </c>
    </row>
    <row r="119" spans="1:26" x14ac:dyDescent="0.2">
      <c r="A119" s="120">
        <v>4</v>
      </c>
      <c r="B119" s="293">
        <v>75</v>
      </c>
      <c r="C119" s="128">
        <f>+B119*730*0.9</f>
        <v>49275</v>
      </c>
      <c r="D119" s="277">
        <f>+$G$134+$G$136*$B119+$G$137*$B119*0.99+$G$139/100*$C119*0.25+$G$140/100*$C119*0.4+$G$141/100*$C119*0.35</f>
        <v>2019.5231999999999</v>
      </c>
      <c r="E119" s="278">
        <f>+$C119*0.25*$G$143/100+$C119*0.75*$G$144/100</f>
        <v>1886.73975</v>
      </c>
      <c r="F119" s="278">
        <f>$B119*$G$145</f>
        <v>54.75</v>
      </c>
      <c r="G119" s="278">
        <f>$B119*$G$146</f>
        <v>15</v>
      </c>
      <c r="H119" s="278">
        <f>+$C119*$G$148/100</f>
        <v>39.912749999999996</v>
      </c>
      <c r="I119" s="278">
        <f>+$B119*$F$147</f>
        <v>84.000000000000014</v>
      </c>
      <c r="J119" s="278">
        <f>B119*G149</f>
        <v>54</v>
      </c>
      <c r="K119" s="278">
        <f>$C119*$G$150/100</f>
        <v>0</v>
      </c>
      <c r="L119" s="278">
        <f t="shared" si="2"/>
        <v>106.5108088737</v>
      </c>
      <c r="M119" s="278">
        <f>SUM(D119:L119)</f>
        <v>4260.4365088736995</v>
      </c>
      <c r="N119" s="277">
        <f>+$N$134+$N$136*$B119+$N$137*$B119*0.99+$N$139/100*$C119*0.25+$N$140/100*$C119*0.4+$N$141/100*$C119*0.35</f>
        <v>2100.412425</v>
      </c>
      <c r="O119" s="278">
        <f>+$C119*0.25*$N$143/100+$C119*0.75*$N$144/100</f>
        <v>1886.73975</v>
      </c>
      <c r="P119" s="278">
        <f>$B119*$N$145</f>
        <v>54.75</v>
      </c>
      <c r="Q119" s="278">
        <f>$B119*$N$146</f>
        <v>15</v>
      </c>
      <c r="R119" s="278">
        <f>+$C119*$N$148/100</f>
        <v>39.912749999999996</v>
      </c>
      <c r="S119" s="278">
        <f>+$B119*$M$147</f>
        <v>84.000000000000014</v>
      </c>
      <c r="T119" s="278">
        <f>B119*$N$149</f>
        <v>54</v>
      </c>
      <c r="U119" s="278">
        <f>+SUM(N119:T119)*0.025641</f>
        <v>108.58488949192501</v>
      </c>
      <c r="V119" s="278">
        <f>SUM(N119:U119)</f>
        <v>4343.399814491926</v>
      </c>
      <c r="W119" s="277">
        <f>+V119-M119</f>
        <v>82.963305618226514</v>
      </c>
      <c r="X119" s="280">
        <f>+W119/M119</f>
        <v>1.9472959037279237E-2</v>
      </c>
      <c r="Y119" s="295">
        <f>(+M119*100)/C119</f>
        <v>8.6462435492109577</v>
      </c>
      <c r="Z119" s="288">
        <f>(+V119*100)/C119</f>
        <v>8.8146114956710839</v>
      </c>
    </row>
    <row r="120" spans="1:26" x14ac:dyDescent="0.2">
      <c r="A120" s="120">
        <v>5</v>
      </c>
      <c r="B120" s="293"/>
      <c r="C120" s="128"/>
      <c r="D120" s="277"/>
      <c r="E120" s="278"/>
      <c r="F120" s="278"/>
      <c r="G120" s="278"/>
      <c r="H120" s="278"/>
      <c r="I120" s="278"/>
      <c r="J120" s="278"/>
      <c r="K120" s="278"/>
      <c r="L120" s="278"/>
      <c r="M120" s="296"/>
      <c r="N120" s="277"/>
      <c r="O120" s="278"/>
      <c r="P120" s="278"/>
      <c r="Q120" s="278"/>
      <c r="R120" s="278"/>
      <c r="S120" s="278"/>
      <c r="T120" s="278"/>
      <c r="U120" s="278"/>
      <c r="V120" s="278"/>
      <c r="W120" s="277"/>
      <c r="X120" s="280"/>
      <c r="Y120" s="295"/>
      <c r="Z120" s="288"/>
    </row>
    <row r="121" spans="1:26" x14ac:dyDescent="0.2">
      <c r="A121" s="120">
        <v>6</v>
      </c>
      <c r="B121" s="293">
        <v>500</v>
      </c>
      <c r="C121" s="128">
        <f>+B121*730*0.2</f>
        <v>73000</v>
      </c>
      <c r="D121" s="277">
        <f>+$I$134+($I$135*$B121+$I$138*$C121)/100</f>
        <v>6553.0600000000013</v>
      </c>
      <c r="E121" s="278">
        <f>+$C121*$I$142/100</f>
        <v>2805.39</v>
      </c>
      <c r="F121" s="278">
        <f>+$C121*$I$145/100</f>
        <v>127.75000000000001</v>
      </c>
      <c r="G121" s="278">
        <f>+$C121*$I$146/100</f>
        <v>35.04</v>
      </c>
      <c r="H121" s="278">
        <f>+$C121*$I$148/100</f>
        <v>59.129999999999988</v>
      </c>
      <c r="I121" s="278">
        <f>+$B121*$I$147</f>
        <v>133</v>
      </c>
      <c r="J121" s="278">
        <f>C121*I149/100</f>
        <v>125.55999999999999</v>
      </c>
      <c r="K121" s="278">
        <f>C121*$I$150/100</f>
        <v>37.96</v>
      </c>
      <c r="L121" s="278">
        <f>+SUM(D121:K121)*0.025641</f>
        <v>253.25333648999998</v>
      </c>
      <c r="M121" s="278">
        <f>SUM(D121:L121)</f>
        <v>10130.143336489999</v>
      </c>
      <c r="N121" s="277">
        <f>+$P$134+$P$135*$B121+$P$138/100*$C121</f>
        <v>6816.8</v>
      </c>
      <c r="O121" s="278">
        <f>+$C121*$P$142/100</f>
        <v>2805.39</v>
      </c>
      <c r="P121" s="278">
        <f>+$C121*$P$145/100</f>
        <v>127.75000000000001</v>
      </c>
      <c r="Q121" s="278">
        <f>+$C121*$P$146/100</f>
        <v>35.04</v>
      </c>
      <c r="R121" s="278">
        <f>+$C121*$P$148/100</f>
        <v>59.129999999999988</v>
      </c>
      <c r="S121" s="278">
        <f>+$B121*$P$147</f>
        <v>133</v>
      </c>
      <c r="T121" s="278">
        <f>C121*$P$149/100</f>
        <v>125.55999999999999</v>
      </c>
      <c r="U121" s="278">
        <f>+SUM(N121:T121)*0.025641</f>
        <v>259.04256147000001</v>
      </c>
      <c r="V121" s="278">
        <f>SUM(N121:U121)</f>
        <v>10361.71256147</v>
      </c>
      <c r="W121" s="277">
        <f>+V121-M121</f>
        <v>231.56922498000131</v>
      </c>
      <c r="X121" s="280">
        <f>+W121/M121</f>
        <v>2.2859422348532919E-2</v>
      </c>
      <c r="Y121" s="295">
        <f>(+M121*100)/C121</f>
        <v>13.876908680123284</v>
      </c>
      <c r="Z121" s="288">
        <f>(+V121*100)/C121</f>
        <v>14.194126796534247</v>
      </c>
    </row>
    <row r="122" spans="1:26" x14ac:dyDescent="0.2">
      <c r="A122" s="120">
        <v>7</v>
      </c>
      <c r="B122" s="293">
        <v>500</v>
      </c>
      <c r="C122" s="128">
        <f>+B122*730*0.35</f>
        <v>127749.99999999999</v>
      </c>
      <c r="D122" s="277">
        <f>+$F$134+$F$135*$B122+($F$138*$C122)/100</f>
        <v>11495.872499999999</v>
      </c>
      <c r="E122" s="278">
        <f>+$C122*$F$142/100</f>
        <v>4909.432499999999</v>
      </c>
      <c r="F122" s="278">
        <f>+$B122*$F$145</f>
        <v>365</v>
      </c>
      <c r="G122" s="278">
        <f>+$B122*$F$146</f>
        <v>100</v>
      </c>
      <c r="H122" s="278">
        <f>+$C122*$F$148/100</f>
        <v>103.47749999999998</v>
      </c>
      <c r="I122" s="278">
        <f>+$B122*$F$147</f>
        <v>560</v>
      </c>
      <c r="J122" s="278">
        <f>B122*F149</f>
        <v>360</v>
      </c>
      <c r="K122" s="278">
        <f>+$C122*$F$150/100</f>
        <v>0</v>
      </c>
      <c r="L122" s="278">
        <f t="shared" ref="L122:L124" si="3">+SUM(D122:K122)*0.025641</f>
        <v>458.81447708250005</v>
      </c>
      <c r="M122" s="278">
        <f>SUM(D122:L122)</f>
        <v>18352.5969770825</v>
      </c>
      <c r="N122" s="277">
        <f>+$M$134+$M$135*$B122+$M$138/100*$C122</f>
        <v>11955.43</v>
      </c>
      <c r="O122" s="278">
        <f>+$C122*$M$142/100</f>
        <v>4909.432499999999</v>
      </c>
      <c r="P122" s="278">
        <f>+$B122*$M$145</f>
        <v>365</v>
      </c>
      <c r="Q122" s="278">
        <f>+$B122*$M$146</f>
        <v>100</v>
      </c>
      <c r="R122" s="278">
        <f>+$C122*$M$148/100</f>
        <v>103.47749999999998</v>
      </c>
      <c r="S122" s="278">
        <f>+$B122*$M$147</f>
        <v>560</v>
      </c>
      <c r="T122" s="278">
        <f>B122*$M$149</f>
        <v>360</v>
      </c>
      <c r="U122" s="278">
        <f>+SUM(N122:T122)*0.025641</f>
        <v>470.59799093999999</v>
      </c>
      <c r="V122" s="278">
        <f>SUM(N122:U122)</f>
        <v>18823.937990940001</v>
      </c>
      <c r="W122" s="277">
        <f>+V122-M122</f>
        <v>471.34101385750182</v>
      </c>
      <c r="X122" s="280">
        <f>+W122/M122</f>
        <v>2.5682524083435226E-2</v>
      </c>
      <c r="Y122" s="295">
        <f>(+M122*100)/C122</f>
        <v>14.366025030984346</v>
      </c>
      <c r="Z122" s="288">
        <f>(+V122*100)/C122</f>
        <v>14.734980814825834</v>
      </c>
    </row>
    <row r="123" spans="1:26" x14ac:dyDescent="0.2">
      <c r="A123" s="120">
        <v>8</v>
      </c>
      <c r="B123" s="293">
        <v>500</v>
      </c>
      <c r="C123" s="128">
        <f>+B123*730*0.6</f>
        <v>219000</v>
      </c>
      <c r="D123" s="277">
        <f>+$F$134+$F$135*$B123+($F$138*$C123)/100</f>
        <v>12243.210000000001</v>
      </c>
      <c r="E123" s="278">
        <f>+$C123*$F$142/100</f>
        <v>8416.17</v>
      </c>
      <c r="F123" s="278">
        <f>+$B123*$F$145</f>
        <v>365</v>
      </c>
      <c r="G123" s="278">
        <f>+$B123*$F$146</f>
        <v>100</v>
      </c>
      <c r="H123" s="278">
        <f>+$C123*$F$148/100</f>
        <v>177.38999999999996</v>
      </c>
      <c r="I123" s="278">
        <f>+$B123*$F$147</f>
        <v>560</v>
      </c>
      <c r="J123" s="278">
        <f>B123*F149</f>
        <v>360</v>
      </c>
      <c r="K123" s="278">
        <f>+$C123*$F$150/100</f>
        <v>0</v>
      </c>
      <c r="L123" s="278">
        <f t="shared" si="3"/>
        <v>569.78840457000001</v>
      </c>
      <c r="M123" s="278">
        <f>SUM(D123:L123)</f>
        <v>22791.558404570002</v>
      </c>
      <c r="N123" s="277">
        <f>+$M$134+$M$135*$B123+$M$138/100*$C123</f>
        <v>12732.88</v>
      </c>
      <c r="O123" s="278">
        <f>+$C123*$M$142/100</f>
        <v>8416.17</v>
      </c>
      <c r="P123" s="278">
        <f>+$B123*$M$145</f>
        <v>365</v>
      </c>
      <c r="Q123" s="278">
        <f>+$B123*$M$146</f>
        <v>100</v>
      </c>
      <c r="R123" s="278">
        <f>+$C123*$M$148/100</f>
        <v>177.38999999999996</v>
      </c>
      <c r="S123" s="278">
        <f>+$B123*$M$147</f>
        <v>560</v>
      </c>
      <c r="T123" s="278">
        <f>B123*$M$149</f>
        <v>360</v>
      </c>
      <c r="U123" s="278">
        <f>+SUM(N123:T123)*0.025641</f>
        <v>582.34403304</v>
      </c>
      <c r="V123" s="278">
        <f>SUM(N123:U123)</f>
        <v>23293.784033039999</v>
      </c>
      <c r="W123" s="277">
        <f>+V123-M123</f>
        <v>502.2256284699979</v>
      </c>
      <c r="X123" s="280">
        <f>+W123/M123</f>
        <v>2.2035598424427844E-2</v>
      </c>
      <c r="Y123" s="295">
        <f>(+M123*100)/C123</f>
        <v>10.407104294324203</v>
      </c>
      <c r="Z123" s="288">
        <f>(+V123*100)/C123</f>
        <v>10.636431065315069</v>
      </c>
    </row>
    <row r="124" spans="1:26" x14ac:dyDescent="0.2">
      <c r="A124" s="120">
        <v>9</v>
      </c>
      <c r="B124" s="293">
        <v>500</v>
      </c>
      <c r="C124" s="128">
        <f>+B124*730*0.9</f>
        <v>328500</v>
      </c>
      <c r="D124" s="277">
        <f>+$G$134+$G$136*$B124+$G$137*$B124*0.99+$G$139/100*$C124*0.25+$G$140/100*$C124*0.4+$G$141/100*$C124*0.35</f>
        <v>13154.088000000002</v>
      </c>
      <c r="E124" s="278">
        <f>+$C124*0.25*$G$143/100+$C124*0.75*$G$144/100</f>
        <v>12578.264999999999</v>
      </c>
      <c r="F124" s="278">
        <f>$B124*$G$145</f>
        <v>365</v>
      </c>
      <c r="G124" s="278">
        <f>$B124*$G$146</f>
        <v>100</v>
      </c>
      <c r="H124" s="278">
        <f>+$C124*$G$148/100</f>
        <v>266.08499999999998</v>
      </c>
      <c r="I124" s="278">
        <f>+$B124*$F$147</f>
        <v>560</v>
      </c>
      <c r="J124" s="278">
        <f>B124*G149</f>
        <v>360</v>
      </c>
      <c r="K124" s="278">
        <f>$C124*$G$150/100</f>
        <v>0</v>
      </c>
      <c r="L124" s="278">
        <f t="shared" si="3"/>
        <v>702.13873375800006</v>
      </c>
      <c r="M124" s="278">
        <f>SUM(D124:L124)</f>
        <v>28085.576733758004</v>
      </c>
      <c r="N124" s="277">
        <f>+$N$134+$N$136*$B124+$N$137*$B124*0.99+$N$139/100*$C124*0.25+$N$140/100*$C124*0.4+$N$141/100*$C124*0.35</f>
        <v>13679.7495</v>
      </c>
      <c r="O124" s="278">
        <f>+$C124*0.25*$N$143/100+$C124*0.75*$N$144/100</f>
        <v>12578.264999999999</v>
      </c>
      <c r="P124" s="278">
        <f>$B124*$N$145</f>
        <v>365</v>
      </c>
      <c r="Q124" s="278">
        <f>$B124*$N$146</f>
        <v>100</v>
      </c>
      <c r="R124" s="278">
        <f>+$C124*$N$148/100</f>
        <v>266.08499999999998</v>
      </c>
      <c r="S124" s="278">
        <f>+$B124*$N$147</f>
        <v>560</v>
      </c>
      <c r="T124" s="278">
        <f>B124*$N$149</f>
        <v>360</v>
      </c>
      <c r="U124" s="278">
        <f>+SUM(N124:T124)*0.025641</f>
        <v>715.61722027949997</v>
      </c>
      <c r="V124" s="278">
        <f>SUM(N124:U124)</f>
        <v>28624.716720279495</v>
      </c>
      <c r="W124" s="277">
        <f>+V124-M124</f>
        <v>539.13998652149166</v>
      </c>
      <c r="X124" s="280">
        <f>+W124/M124</f>
        <v>1.9196329547808855E-2</v>
      </c>
      <c r="Y124" s="295">
        <f>(+M124*100)/C124</f>
        <v>8.5496428413266372</v>
      </c>
      <c r="Z124" s="288">
        <f>(+V124*100)/C124</f>
        <v>8.7137646028248081</v>
      </c>
    </row>
    <row r="125" spans="1:26" x14ac:dyDescent="0.2">
      <c r="A125" s="120">
        <v>10</v>
      </c>
      <c r="B125" s="293"/>
      <c r="C125" s="128"/>
      <c r="D125" s="277"/>
      <c r="E125" s="278"/>
      <c r="F125" s="278"/>
      <c r="G125" s="278"/>
      <c r="H125" s="278"/>
      <c r="I125" s="278"/>
      <c r="J125" s="278"/>
      <c r="K125" s="278"/>
      <c r="L125" s="278"/>
      <c r="M125" s="296"/>
      <c r="N125" s="277"/>
      <c r="O125" s="278"/>
      <c r="P125" s="278"/>
      <c r="Q125" s="278"/>
      <c r="R125" s="278"/>
      <c r="S125" s="278"/>
      <c r="T125" s="278"/>
      <c r="U125" s="278"/>
      <c r="V125" s="278"/>
      <c r="W125" s="277"/>
      <c r="X125" s="280"/>
      <c r="Y125" s="295"/>
      <c r="Z125" s="288"/>
    </row>
    <row r="126" spans="1:26" x14ac:dyDescent="0.2">
      <c r="A126" s="120">
        <v>11</v>
      </c>
      <c r="B126" s="293">
        <v>1000</v>
      </c>
      <c r="C126" s="128">
        <f>+B126*730*0.2</f>
        <v>146000</v>
      </c>
      <c r="D126" s="277">
        <f>+$I$134+($I$135*$B126+$I$138*$C126)/100</f>
        <v>13051.520000000002</v>
      </c>
      <c r="E126" s="278">
        <f>+$C126*$I$142/100</f>
        <v>5610.78</v>
      </c>
      <c r="F126" s="278">
        <f>+$C126*$I$145/100</f>
        <v>255.50000000000003</v>
      </c>
      <c r="G126" s="278">
        <f>+$C126*$I$146/100</f>
        <v>70.08</v>
      </c>
      <c r="H126" s="278">
        <f>+$C126*$I$148/100</f>
        <v>118.25999999999998</v>
      </c>
      <c r="I126" s="278">
        <f>+$B126*$I$147</f>
        <v>266</v>
      </c>
      <c r="J126" s="278">
        <f>C126*I149/100</f>
        <v>251.11999999999998</v>
      </c>
      <c r="K126" s="278">
        <f>C126*$I$150/100</f>
        <v>75.92</v>
      </c>
      <c r="L126" s="278">
        <f>+SUM(D126:K126)*0.025641</f>
        <v>505.10667438000002</v>
      </c>
      <c r="M126" s="278">
        <f>SUM(D126:L126)</f>
        <v>20204.28667438</v>
      </c>
      <c r="N126" s="277">
        <f>+$P$134+$P$135*$B126+$P$138/100*$C126</f>
        <v>13576.6</v>
      </c>
      <c r="O126" s="278">
        <f>+$C126*$P$142/100</f>
        <v>5610.78</v>
      </c>
      <c r="P126" s="278">
        <f>+$C126*$P$145/100</f>
        <v>255.50000000000003</v>
      </c>
      <c r="Q126" s="278">
        <f>+$C126*$P$146/100</f>
        <v>70.08</v>
      </c>
      <c r="R126" s="278">
        <f>+$C126*$P$148/100</f>
        <v>118.25999999999998</v>
      </c>
      <c r="S126" s="278">
        <f>+$B126*$P$147</f>
        <v>266</v>
      </c>
      <c r="T126" s="278">
        <f>C126*$P$149/100</f>
        <v>251.11999999999998</v>
      </c>
      <c r="U126" s="278">
        <f>+SUM(N126:T126)*0.025641</f>
        <v>516.62358594</v>
      </c>
      <c r="V126" s="278">
        <f>SUM(N126:U126)</f>
        <v>20664.96358594</v>
      </c>
      <c r="W126" s="277">
        <f>+V126-M126</f>
        <v>460.67691156000001</v>
      </c>
      <c r="X126" s="280">
        <f>+W126/M126</f>
        <v>2.280094907503764E-2</v>
      </c>
      <c r="Y126" s="295">
        <f>(+M126*100)/C126</f>
        <v>13.838552516698631</v>
      </c>
      <c r="Z126" s="288">
        <f>(+V126*100)/C126</f>
        <v>14.15408464790411</v>
      </c>
    </row>
    <row r="127" spans="1:26" x14ac:dyDescent="0.2">
      <c r="A127" s="120">
        <v>12</v>
      </c>
      <c r="B127" s="293">
        <v>1000</v>
      </c>
      <c r="C127" s="128">
        <f>+B127*730*0.35</f>
        <v>255499.99999999997</v>
      </c>
      <c r="D127" s="277">
        <f>+$F$134+$F$135*$B127+($F$138*$C127)/100</f>
        <v>22937.144999999997</v>
      </c>
      <c r="E127" s="278">
        <f>+$C127*$F$142/100</f>
        <v>9818.864999999998</v>
      </c>
      <c r="F127" s="278">
        <f>+$B127*$F$145</f>
        <v>730</v>
      </c>
      <c r="G127" s="278">
        <f>+$B127*$F$146</f>
        <v>200</v>
      </c>
      <c r="H127" s="278">
        <f>+$C127*$F$148/100</f>
        <v>206.95499999999996</v>
      </c>
      <c r="I127" s="278">
        <f>+$B127*$F$147</f>
        <v>1120</v>
      </c>
      <c r="J127" s="278">
        <f>B127*F149</f>
        <v>720</v>
      </c>
      <c r="K127" s="278">
        <f>+$C127*$F$150/100</f>
        <v>0</v>
      </c>
      <c r="L127" s="278">
        <f t="shared" ref="L127:L129" si="4">+SUM(D127:K127)*0.025641</f>
        <v>916.22895556499998</v>
      </c>
      <c r="M127" s="278">
        <f>SUM(D127:L127)</f>
        <v>36649.193955564995</v>
      </c>
      <c r="N127" s="277">
        <f>+$M$134+$M$135*$B127+$M$138/100*$C127</f>
        <v>23853.86</v>
      </c>
      <c r="O127" s="278">
        <f>+$C127*$M$142/100</f>
        <v>9818.864999999998</v>
      </c>
      <c r="P127" s="278">
        <f>+$B127*$M$145</f>
        <v>730</v>
      </c>
      <c r="Q127" s="278">
        <f>+$B127*$M$146</f>
        <v>200</v>
      </c>
      <c r="R127" s="278">
        <f>+$C127*$M$148/100</f>
        <v>206.95499999999996</v>
      </c>
      <c r="S127" s="278">
        <f>+$B127*$M$147</f>
        <v>1120</v>
      </c>
      <c r="T127" s="278">
        <f>B127*$M$149</f>
        <v>720</v>
      </c>
      <c r="U127" s="278">
        <f>+SUM(N127:T127)*0.025641</f>
        <v>939.73444488000007</v>
      </c>
      <c r="V127" s="278">
        <f>SUM(N127:U127)</f>
        <v>37589.41444488</v>
      </c>
      <c r="W127" s="277">
        <f>+V127-M127</f>
        <v>940.22048931500467</v>
      </c>
      <c r="X127" s="280">
        <f>+W127/M127</f>
        <v>2.5654602129994101E-2</v>
      </c>
      <c r="Y127" s="295">
        <f>(+M127*100)/C127</f>
        <v>14.344107223313111</v>
      </c>
      <c r="Z127" s="288">
        <f>(+V127*100)/C127</f>
        <v>14.712099587037184</v>
      </c>
    </row>
    <row r="128" spans="1:26" x14ac:dyDescent="0.2">
      <c r="A128" s="120">
        <v>13</v>
      </c>
      <c r="B128" s="293">
        <v>1000</v>
      </c>
      <c r="C128" s="128">
        <f>+B128*730*0.6</f>
        <v>438000</v>
      </c>
      <c r="D128" s="277">
        <f>+$F$134+$F$135*$B128+($F$138*$C128)/100</f>
        <v>24431.82</v>
      </c>
      <c r="E128" s="278">
        <f>+$C128*$F$142/100</f>
        <v>16832.34</v>
      </c>
      <c r="F128" s="278">
        <f>+$B128*$F$145</f>
        <v>730</v>
      </c>
      <c r="G128" s="278">
        <f>+$B128*$F$146</f>
        <v>200</v>
      </c>
      <c r="H128" s="278">
        <f>+$C128*$F$148/100</f>
        <v>354.77999999999992</v>
      </c>
      <c r="I128" s="278">
        <f>+$B128*$F$147</f>
        <v>1120</v>
      </c>
      <c r="J128" s="278">
        <f>B128*F149</f>
        <v>720</v>
      </c>
      <c r="K128" s="278">
        <f>+$C128*$F$150/100</f>
        <v>0</v>
      </c>
      <c r="L128" s="278">
        <f t="shared" si="4"/>
        <v>1138.1768105400001</v>
      </c>
      <c r="M128" s="278">
        <f>SUM(D128:L128)</f>
        <v>45527.116810539999</v>
      </c>
      <c r="N128" s="277">
        <f>+$M$134+$M$135*$B128+$M$138/100*$C128</f>
        <v>25408.76</v>
      </c>
      <c r="O128" s="278">
        <f>+$C128*$M$142/100</f>
        <v>16832.34</v>
      </c>
      <c r="P128" s="278">
        <f>+$B128*$M$145</f>
        <v>730</v>
      </c>
      <c r="Q128" s="278">
        <f>+$B128*$M$146</f>
        <v>200</v>
      </c>
      <c r="R128" s="278">
        <f>+$C128*$M$148/100</f>
        <v>354.77999999999992</v>
      </c>
      <c r="S128" s="278">
        <f>+$B128*$M$147</f>
        <v>1120</v>
      </c>
      <c r="T128" s="278">
        <f>B128*$M$149</f>
        <v>720</v>
      </c>
      <c r="U128" s="278">
        <f>+SUM(N128:T128)*0.025641</f>
        <v>1163.2265290799999</v>
      </c>
      <c r="V128" s="278">
        <f>SUM(N128:U128)</f>
        <v>46529.106529079996</v>
      </c>
      <c r="W128" s="277">
        <f>+V128-M128</f>
        <v>1001.9897185399968</v>
      </c>
      <c r="X128" s="280">
        <f>+W128/M128</f>
        <v>2.2008635484424655E-2</v>
      </c>
      <c r="Y128" s="295">
        <f>(+M128*100)/C128</f>
        <v>10.394318906515981</v>
      </c>
      <c r="Z128" s="288">
        <f>(+V128*100)/C128</f>
        <v>10.623083682438354</v>
      </c>
    </row>
    <row r="129" spans="1:26" x14ac:dyDescent="0.2">
      <c r="A129" s="120">
        <v>14</v>
      </c>
      <c r="B129" s="293">
        <v>1000</v>
      </c>
      <c r="C129" s="128">
        <f>+B129*730*0.9</f>
        <v>657000</v>
      </c>
      <c r="D129" s="277">
        <f>+$G$134+$G$136*$B129+$G$137*$B129*0.99+$G$139/100*$C129*0.25+$G$140/100*$C129*0.4+$G$141/100*$C129*0.35</f>
        <v>26253.575999999997</v>
      </c>
      <c r="E129" s="278">
        <f>+$C129*0.25*$G$143/100+$C129*0.75*$G$144/100</f>
        <v>25156.53</v>
      </c>
      <c r="F129" s="278">
        <f>$B129*$G$145</f>
        <v>730</v>
      </c>
      <c r="G129" s="278">
        <f>$B129*$G$146</f>
        <v>200</v>
      </c>
      <c r="H129" s="278">
        <f>+$C129*$G$148/100</f>
        <v>532.16999999999996</v>
      </c>
      <c r="I129" s="278">
        <f>+$B129*$G$147</f>
        <v>1120</v>
      </c>
      <c r="J129" s="278">
        <f>B129*G149</f>
        <v>720</v>
      </c>
      <c r="K129" s="278">
        <f>$C129*$G$150/100</f>
        <v>0</v>
      </c>
      <c r="L129" s="278">
        <f t="shared" si="4"/>
        <v>1402.877468916</v>
      </c>
      <c r="M129" s="278">
        <f>SUM(D129:L129)</f>
        <v>56115.153468915996</v>
      </c>
      <c r="N129" s="277">
        <f>+$N$134+$N$136*$B129+$N$137*$B129*0.99+$N$139/100*$C129*0.25+$N$140/100*$C129*0.4+$N$141/100*$C129*0.35</f>
        <v>27302.499</v>
      </c>
      <c r="O129" s="278">
        <f>+$C129*0.25*$N$143/100+$C129*0.75*$N$144/100</f>
        <v>25156.53</v>
      </c>
      <c r="P129" s="278">
        <f>$B129*$N$145</f>
        <v>730</v>
      </c>
      <c r="Q129" s="278">
        <f>$B129*$N$146</f>
        <v>200</v>
      </c>
      <c r="R129" s="278">
        <f>+$C129*$N$148/100</f>
        <v>532.16999999999996</v>
      </c>
      <c r="S129" s="278">
        <f>+$B129*$N$147</f>
        <v>1120</v>
      </c>
      <c r="T129" s="278">
        <f>B129*$N$149</f>
        <v>720</v>
      </c>
      <c r="U129" s="278">
        <f>+SUM(N129:T129)*0.025641</f>
        <v>1429.7729035589998</v>
      </c>
      <c r="V129" s="278">
        <f>SUM(N129:U129)</f>
        <v>57190.971903558995</v>
      </c>
      <c r="W129" s="277">
        <f>+V129-M129</f>
        <v>1075.8184346429989</v>
      </c>
      <c r="X129" s="280">
        <f>+W129/M129</f>
        <v>1.9171620643235514E-2</v>
      </c>
      <c r="Y129" s="295">
        <f>(+M129*100)/C129</f>
        <v>8.5411192494544892</v>
      </c>
      <c r="Z129" s="288">
        <f>(+V129*100)/C129</f>
        <v>8.7048663475736685</v>
      </c>
    </row>
    <row r="130" spans="1:26" x14ac:dyDescent="0.2">
      <c r="A130" s="120">
        <v>15</v>
      </c>
      <c r="B130" s="293"/>
      <c r="C130" s="128"/>
      <c r="D130" s="278"/>
      <c r="E130" s="278"/>
      <c r="F130" s="278"/>
      <c r="G130" s="278"/>
      <c r="H130" s="278"/>
      <c r="I130" s="278"/>
      <c r="J130" s="278"/>
      <c r="K130" s="278"/>
      <c r="L130" s="278"/>
      <c r="M130" s="278"/>
      <c r="N130" s="278"/>
      <c r="O130" s="278"/>
      <c r="P130" s="278"/>
      <c r="Q130" s="278"/>
      <c r="R130" s="278"/>
      <c r="S130" s="278"/>
      <c r="T130" s="278"/>
      <c r="U130" s="278"/>
      <c r="V130" s="278"/>
      <c r="W130" s="280"/>
      <c r="X130" s="288"/>
      <c r="Y130" s="288"/>
    </row>
    <row r="131" spans="1:26" x14ac:dyDescent="0.2">
      <c r="A131" s="120">
        <v>16</v>
      </c>
    </row>
    <row r="132" spans="1:26" x14ac:dyDescent="0.2">
      <c r="A132" s="120">
        <v>17</v>
      </c>
      <c r="F132" s="374" t="s">
        <v>1339</v>
      </c>
      <c r="G132" s="374"/>
      <c r="H132" s="374"/>
      <c r="I132" s="374"/>
      <c r="J132" s="374"/>
      <c r="K132" s="120"/>
      <c r="L132" s="120"/>
      <c r="M132" s="374" t="s">
        <v>1340</v>
      </c>
      <c r="N132" s="374"/>
      <c r="O132" s="374"/>
      <c r="P132" s="374"/>
      <c r="Q132" s="374"/>
    </row>
    <row r="133" spans="1:26" x14ac:dyDescent="0.2">
      <c r="A133" s="120">
        <v>18</v>
      </c>
      <c r="C133" s="120"/>
      <c r="D133" s="120"/>
      <c r="E133" s="120"/>
      <c r="F133" s="297" t="s">
        <v>816</v>
      </c>
      <c r="G133" s="297" t="s">
        <v>919</v>
      </c>
      <c r="I133" s="298" t="s">
        <v>1375</v>
      </c>
      <c r="M133" s="297" t="s">
        <v>816</v>
      </c>
      <c r="N133" s="297" t="s">
        <v>919</v>
      </c>
      <c r="P133" s="298" t="s">
        <v>1375</v>
      </c>
      <c r="Q133" s="298"/>
      <c r="V133" s="299"/>
    </row>
    <row r="134" spans="1:26" x14ac:dyDescent="0.2">
      <c r="A134" s="120">
        <v>19</v>
      </c>
      <c r="C134" s="116" t="s">
        <v>1352</v>
      </c>
      <c r="D134" s="120"/>
      <c r="E134" s="120"/>
      <c r="F134" s="287">
        <f>+ROUND('2027 GSD Rate Class E-13c'!K18,2)*30</f>
        <v>54.6</v>
      </c>
      <c r="G134" s="287">
        <f>+ROUND('2027 GSD Rate Class E-13c'!K21,2)*30</f>
        <v>54.6</v>
      </c>
      <c r="H134" s="116" t="s">
        <v>1353</v>
      </c>
      <c r="I134" s="287">
        <f>+ROUND('2027 GSD Rate Class E-13c'!K126,2)*30</f>
        <v>54.6</v>
      </c>
      <c r="J134" s="116" t="s">
        <v>1353</v>
      </c>
      <c r="K134" s="116"/>
      <c r="M134" s="286">
        <f>+ROUND('2027 GSD Rate Class E-13c'!R18,2)*30</f>
        <v>57</v>
      </c>
      <c r="N134" s="286">
        <f>+ROUND('2027 GSD Rate Class E-13c'!R21,2)*30</f>
        <v>57</v>
      </c>
      <c r="P134" s="286">
        <f>+ROUND('2027 GSD Rate Class E-13c'!R126,2)*30</f>
        <v>57</v>
      </c>
      <c r="Q134" s="116" t="s">
        <v>1353</v>
      </c>
    </row>
    <row r="135" spans="1:26" x14ac:dyDescent="0.2">
      <c r="A135" s="120">
        <v>20</v>
      </c>
      <c r="C135" s="116" t="s">
        <v>1354</v>
      </c>
      <c r="D135" s="120"/>
      <c r="F135" s="287">
        <f>+ROUND('2027 GSD Rate Class E-13c'!K43,2)</f>
        <v>20.79</v>
      </c>
      <c r="G135" s="287">
        <v>0</v>
      </c>
      <c r="H135" s="116" t="s">
        <v>1355</v>
      </c>
      <c r="I135" s="287">
        <v>0</v>
      </c>
      <c r="J135" s="116" t="s">
        <v>1355</v>
      </c>
      <c r="K135" s="116"/>
      <c r="M135" s="286">
        <f>ROUND(+'2027 GSD Rate Class E-13c'!R43,2)</f>
        <v>21.62</v>
      </c>
      <c r="N135" s="286">
        <v>0</v>
      </c>
      <c r="O135" s="116" t="s">
        <v>1355</v>
      </c>
      <c r="P135" s="286">
        <v>0</v>
      </c>
      <c r="Q135" s="116" t="s">
        <v>1355</v>
      </c>
    </row>
    <row r="136" spans="1:26" x14ac:dyDescent="0.2">
      <c r="A136" s="120">
        <v>21</v>
      </c>
      <c r="C136" s="290" t="s">
        <v>1376</v>
      </c>
      <c r="F136" s="287">
        <v>0</v>
      </c>
      <c r="G136" s="287">
        <f>+ROUND('2027 GSD Rate Class E-13c'!K46,2)</f>
        <v>5.34</v>
      </c>
      <c r="H136" s="116" t="s">
        <v>1355</v>
      </c>
      <c r="I136" s="287">
        <v>0</v>
      </c>
      <c r="J136" s="116" t="s">
        <v>1355</v>
      </c>
      <c r="K136" s="116"/>
      <c r="M136" s="286">
        <v>0</v>
      </c>
      <c r="N136" s="286">
        <f>ROUND(+'2027 GSD Rate Class E-13c'!R46,2)</f>
        <v>5.55</v>
      </c>
      <c r="O136" s="116" t="s">
        <v>1355</v>
      </c>
      <c r="P136" s="286">
        <v>0</v>
      </c>
      <c r="Q136" s="116" t="s">
        <v>1355</v>
      </c>
      <c r="W136" s="300"/>
    </row>
    <row r="137" spans="1:26" x14ac:dyDescent="0.2">
      <c r="A137" s="120">
        <v>22</v>
      </c>
      <c r="C137" s="290" t="s">
        <v>1377</v>
      </c>
      <c r="F137" s="287">
        <v>0</v>
      </c>
      <c r="G137" s="287">
        <f>+ROUND('2027 GSD Rate Class E-13c'!K49,2)</f>
        <v>15.45</v>
      </c>
      <c r="H137" s="116" t="s">
        <v>1355</v>
      </c>
      <c r="I137" s="287">
        <v>0</v>
      </c>
      <c r="J137" s="116" t="s">
        <v>1355</v>
      </c>
      <c r="K137" s="116"/>
      <c r="M137" s="286">
        <v>0</v>
      </c>
      <c r="N137" s="286">
        <f>ROUND(+'2027 GSD Rate Class E-13c'!R49,2)</f>
        <v>16.07</v>
      </c>
      <c r="O137" s="116" t="s">
        <v>1355</v>
      </c>
      <c r="P137" s="286">
        <v>0</v>
      </c>
      <c r="Q137" s="116" t="s">
        <v>1355</v>
      </c>
    </row>
    <row r="138" spans="1:26" x14ac:dyDescent="0.2">
      <c r="A138" s="120">
        <v>23</v>
      </c>
      <c r="C138" s="116" t="s">
        <v>1356</v>
      </c>
      <c r="D138" s="120"/>
      <c r="F138" s="301">
        <f>+ROUND('2027 GSD Rate Class E-13c'!K27,5)*100</f>
        <v>0.81899999999999995</v>
      </c>
      <c r="G138" s="301">
        <v>0</v>
      </c>
      <c r="H138" s="116" t="s">
        <v>1358</v>
      </c>
      <c r="I138" s="301">
        <f>+ROUND('2027 GSD Rate Class E-13c'!K132,5)*100</f>
        <v>8.902000000000001</v>
      </c>
      <c r="J138" s="116" t="s">
        <v>1358</v>
      </c>
      <c r="K138" s="116"/>
      <c r="M138" s="301">
        <f>+ROUND('2027 GSD Rate Class E-13c'!R27,5)*100</f>
        <v>0.85199999999999998</v>
      </c>
      <c r="N138" s="286">
        <v>0</v>
      </c>
      <c r="O138" s="116" t="s">
        <v>1358</v>
      </c>
      <c r="P138" s="289">
        <f>+ROUND('2027 GSD Rate Class E-13c'!R132,5)*100</f>
        <v>9.26</v>
      </c>
      <c r="Q138" s="116" t="s">
        <v>1358</v>
      </c>
    </row>
    <row r="139" spans="1:26" x14ac:dyDescent="0.2">
      <c r="A139" s="120">
        <v>24</v>
      </c>
      <c r="C139" s="290" t="s">
        <v>1378</v>
      </c>
      <c r="F139" s="301">
        <v>0</v>
      </c>
      <c r="G139" s="301">
        <f>+ROUND('2027 GSD Rate Class E-13c'!K30,5)*100</f>
        <v>1.3169999999999999</v>
      </c>
      <c r="H139" s="116" t="s">
        <v>1358</v>
      </c>
      <c r="I139" s="301">
        <v>0</v>
      </c>
      <c r="J139" s="116" t="s">
        <v>1358</v>
      </c>
      <c r="K139" s="116"/>
      <c r="M139" s="301">
        <v>0</v>
      </c>
      <c r="N139" s="289">
        <f>+ROUND('2027 GSD Rate Class E-13c'!R30,5)*100</f>
        <v>1.37</v>
      </c>
      <c r="O139" s="116" t="s">
        <v>1358</v>
      </c>
      <c r="P139" s="286">
        <v>0</v>
      </c>
      <c r="Q139" s="116" t="s">
        <v>1358</v>
      </c>
    </row>
    <row r="140" spans="1:26" x14ac:dyDescent="0.2">
      <c r="A140" s="120">
        <v>25</v>
      </c>
      <c r="B140" s="276"/>
      <c r="C140" s="290" t="s">
        <v>1379</v>
      </c>
      <c r="F140" s="301">
        <v>0</v>
      </c>
      <c r="G140" s="301">
        <f>+ROUND('2027 GSD Rate Class E-13c'!K33,5)*100</f>
        <v>0.86599999999999988</v>
      </c>
      <c r="H140" s="116" t="s">
        <v>1358</v>
      </c>
      <c r="I140" s="301">
        <v>0</v>
      </c>
      <c r="J140" s="116" t="s">
        <v>1358</v>
      </c>
      <c r="K140" s="116"/>
      <c r="M140" s="301">
        <v>0</v>
      </c>
      <c r="N140" s="289">
        <f>+ROUND('2027 GSD Rate Class E-13c'!R33,5)*100</f>
        <v>0.90100000000000002</v>
      </c>
      <c r="O140" s="116" t="s">
        <v>1358</v>
      </c>
      <c r="P140" s="286">
        <v>0</v>
      </c>
      <c r="Q140" s="116" t="s">
        <v>1358</v>
      </c>
      <c r="U140" s="128"/>
      <c r="V140" s="128"/>
      <c r="W140" s="128"/>
      <c r="X140" s="128"/>
      <c r="Y140" s="128"/>
    </row>
    <row r="141" spans="1:26" x14ac:dyDescent="0.2">
      <c r="A141" s="120">
        <v>26</v>
      </c>
      <c r="B141" s="276"/>
      <c r="C141" s="290" t="s">
        <v>1380</v>
      </c>
      <c r="F141" s="301">
        <v>0</v>
      </c>
      <c r="G141" s="301">
        <f>+ROUND('2027 GSD Rate Class E-13c'!K36,5)*100</f>
        <v>0.48900000000000005</v>
      </c>
      <c r="H141" s="116" t="s">
        <v>1358</v>
      </c>
      <c r="J141" s="116" t="s">
        <v>1358</v>
      </c>
      <c r="K141" s="116"/>
      <c r="M141" s="301">
        <v>0</v>
      </c>
      <c r="N141" s="289">
        <f>+ROUND('2027 GSD Rate Class E-13c'!R36,5)*100</f>
        <v>0.50800000000000001</v>
      </c>
      <c r="O141" s="116" t="s">
        <v>1358</v>
      </c>
      <c r="Q141" s="116" t="s">
        <v>1358</v>
      </c>
    </row>
    <row r="142" spans="1:26" x14ac:dyDescent="0.2">
      <c r="A142" s="120">
        <v>27</v>
      </c>
      <c r="B142" s="276"/>
      <c r="C142" s="116" t="s">
        <v>1372</v>
      </c>
      <c r="D142" s="120"/>
      <c r="F142" s="301">
        <f>0.03843*100</f>
        <v>3.843</v>
      </c>
      <c r="G142" s="301">
        <v>0</v>
      </c>
      <c r="H142" s="116" t="s">
        <v>1358</v>
      </c>
      <c r="I142" s="301">
        <f>0.03843*100</f>
        <v>3.843</v>
      </c>
      <c r="J142" s="116" t="s">
        <v>1358</v>
      </c>
      <c r="K142" s="116"/>
      <c r="M142" s="301">
        <f t="shared" ref="M142:P149" si="5">+F142</f>
        <v>3.843</v>
      </c>
      <c r="N142" s="301">
        <f t="shared" si="5"/>
        <v>0</v>
      </c>
      <c r="O142" s="116" t="s">
        <v>1358</v>
      </c>
      <c r="P142" s="301">
        <f t="shared" si="5"/>
        <v>3.843</v>
      </c>
      <c r="Q142" s="116" t="s">
        <v>1358</v>
      </c>
      <c r="U142" s="128"/>
      <c r="V142" s="128"/>
      <c r="W142" s="128"/>
      <c r="X142" s="128"/>
      <c r="Y142" s="128"/>
    </row>
    <row r="143" spans="1:26" x14ac:dyDescent="0.2">
      <c r="A143" s="120">
        <v>28</v>
      </c>
      <c r="B143" s="276"/>
      <c r="C143" s="290" t="s">
        <v>1378</v>
      </c>
      <c r="F143" s="301">
        <v>0</v>
      </c>
      <c r="G143" s="301">
        <f>0.04045*100</f>
        <v>4.0449999999999999</v>
      </c>
      <c r="H143" s="116" t="s">
        <v>1358</v>
      </c>
      <c r="I143" s="301">
        <v>0</v>
      </c>
      <c r="J143" s="116" t="s">
        <v>1358</v>
      </c>
      <c r="K143" s="116"/>
      <c r="M143" s="301">
        <f t="shared" si="5"/>
        <v>0</v>
      </c>
      <c r="N143" s="301">
        <f t="shared" si="5"/>
        <v>4.0449999999999999</v>
      </c>
      <c r="O143" s="116" t="s">
        <v>1358</v>
      </c>
      <c r="P143" s="301">
        <f t="shared" si="5"/>
        <v>0</v>
      </c>
      <c r="Q143" s="116" t="s">
        <v>1358</v>
      </c>
      <c r="U143" s="128"/>
      <c r="V143" s="128"/>
      <c r="W143" s="128"/>
      <c r="X143" s="128"/>
      <c r="Y143" s="128"/>
    </row>
    <row r="144" spans="1:26" x14ac:dyDescent="0.2">
      <c r="A144" s="120">
        <v>29</v>
      </c>
      <c r="B144" s="276"/>
      <c r="C144" s="290" t="s">
        <v>1379</v>
      </c>
      <c r="F144" s="301">
        <v>0</v>
      </c>
      <c r="G144" s="301">
        <f>0.03757*100</f>
        <v>3.7570000000000001</v>
      </c>
      <c r="H144" s="116" t="s">
        <v>1358</v>
      </c>
      <c r="I144" s="301">
        <v>0</v>
      </c>
      <c r="J144" s="116" t="s">
        <v>1358</v>
      </c>
      <c r="K144" s="116"/>
      <c r="M144" s="301">
        <f t="shared" si="5"/>
        <v>0</v>
      </c>
      <c r="N144" s="301">
        <f t="shared" si="5"/>
        <v>3.7570000000000001</v>
      </c>
      <c r="O144" s="116" t="s">
        <v>1358</v>
      </c>
      <c r="P144" s="301">
        <f t="shared" si="5"/>
        <v>0</v>
      </c>
      <c r="Q144" s="116" t="s">
        <v>1358</v>
      </c>
      <c r="U144" s="128"/>
      <c r="V144" s="128"/>
      <c r="W144" s="128"/>
      <c r="X144" s="128"/>
      <c r="Y144" s="128"/>
    </row>
    <row r="145" spans="1:26" x14ac:dyDescent="0.2">
      <c r="A145" s="120">
        <v>30</v>
      </c>
      <c r="B145" s="276"/>
      <c r="C145" s="116" t="s">
        <v>1361</v>
      </c>
      <c r="D145" s="120"/>
      <c r="F145" s="287">
        <v>0.73</v>
      </c>
      <c r="G145" s="287">
        <v>0.73</v>
      </c>
      <c r="H145" s="116" t="s">
        <v>1355</v>
      </c>
      <c r="I145" s="301">
        <f>0.00175*100</f>
        <v>0.17500000000000002</v>
      </c>
      <c r="J145" s="116" t="s">
        <v>1358</v>
      </c>
      <c r="K145" s="116"/>
      <c r="M145" s="287">
        <f t="shared" si="5"/>
        <v>0.73</v>
      </c>
      <c r="N145" s="287">
        <f t="shared" si="5"/>
        <v>0.73</v>
      </c>
      <c r="O145" s="116" t="s">
        <v>1355</v>
      </c>
      <c r="P145" s="301">
        <f t="shared" si="5"/>
        <v>0.17500000000000002</v>
      </c>
      <c r="Q145" s="116" t="s">
        <v>1358</v>
      </c>
      <c r="U145" s="128"/>
      <c r="V145" s="128"/>
      <c r="W145" s="128"/>
      <c r="X145" s="128"/>
      <c r="Y145" s="128"/>
    </row>
    <row r="146" spans="1:26" x14ac:dyDescent="0.2">
      <c r="A146" s="120">
        <v>31</v>
      </c>
      <c r="B146" s="276"/>
      <c r="C146" s="116" t="s">
        <v>1362</v>
      </c>
      <c r="D146" s="120"/>
      <c r="F146" s="287">
        <v>0.2</v>
      </c>
      <c r="G146" s="287">
        <v>0.2</v>
      </c>
      <c r="H146" s="116" t="s">
        <v>1355</v>
      </c>
      <c r="I146" s="301">
        <f>0.00048*100</f>
        <v>4.8000000000000001E-2</v>
      </c>
      <c r="J146" s="116" t="s">
        <v>1358</v>
      </c>
      <c r="K146" s="116"/>
      <c r="M146" s="287">
        <f t="shared" si="5"/>
        <v>0.2</v>
      </c>
      <c r="N146" s="287">
        <f t="shared" si="5"/>
        <v>0.2</v>
      </c>
      <c r="O146" s="116" t="s">
        <v>1355</v>
      </c>
      <c r="P146" s="301">
        <f t="shared" si="5"/>
        <v>4.8000000000000001E-2</v>
      </c>
      <c r="Q146" s="116" t="s">
        <v>1358</v>
      </c>
      <c r="U146" s="128"/>
      <c r="V146" s="128"/>
      <c r="W146" s="128"/>
      <c r="X146" s="128"/>
      <c r="Y146" s="128"/>
    </row>
    <row r="147" spans="1:26" x14ac:dyDescent="0.2">
      <c r="A147" s="120">
        <v>32</v>
      </c>
      <c r="B147" s="276"/>
      <c r="C147" s="116" t="s">
        <v>1363</v>
      </c>
      <c r="D147" s="120"/>
      <c r="F147" s="287">
        <v>1.1200000000000001</v>
      </c>
      <c r="G147" s="287">
        <v>1.1200000000000001</v>
      </c>
      <c r="H147" s="116" t="s">
        <v>1355</v>
      </c>
      <c r="I147" s="301">
        <f>0.00266*100</f>
        <v>0.26600000000000001</v>
      </c>
      <c r="J147" s="116" t="s">
        <v>1358</v>
      </c>
      <c r="K147" s="116"/>
      <c r="M147" s="287">
        <f t="shared" si="5"/>
        <v>1.1200000000000001</v>
      </c>
      <c r="N147" s="287">
        <f t="shared" si="5"/>
        <v>1.1200000000000001</v>
      </c>
      <c r="O147" s="116" t="s">
        <v>1355</v>
      </c>
      <c r="P147" s="301">
        <f t="shared" si="5"/>
        <v>0.26600000000000001</v>
      </c>
      <c r="Q147" s="116" t="s">
        <v>1358</v>
      </c>
      <c r="U147" s="128"/>
      <c r="V147" s="128"/>
      <c r="W147" s="128"/>
      <c r="X147" s="128"/>
      <c r="Y147" s="128"/>
    </row>
    <row r="148" spans="1:26" x14ac:dyDescent="0.2">
      <c r="A148" s="120">
        <v>33</v>
      </c>
      <c r="B148" s="276"/>
      <c r="C148" s="116" t="s">
        <v>1364</v>
      </c>
      <c r="D148" s="120"/>
      <c r="F148" s="301">
        <f>0.00081*100</f>
        <v>8.0999999999999989E-2</v>
      </c>
      <c r="G148" s="301">
        <f>0.00081*100</f>
        <v>8.0999999999999989E-2</v>
      </c>
      <c r="H148" s="116" t="s">
        <v>1358</v>
      </c>
      <c r="I148" s="301">
        <f>0.00081*100</f>
        <v>8.0999999999999989E-2</v>
      </c>
      <c r="J148" s="116" t="s">
        <v>1358</v>
      </c>
      <c r="K148" s="116"/>
      <c r="M148" s="301">
        <f t="shared" si="5"/>
        <v>8.0999999999999989E-2</v>
      </c>
      <c r="N148" s="301">
        <f t="shared" si="5"/>
        <v>8.0999999999999989E-2</v>
      </c>
      <c r="O148" s="116" t="s">
        <v>1358</v>
      </c>
      <c r="P148" s="301">
        <f t="shared" si="5"/>
        <v>8.0999999999999989E-2</v>
      </c>
      <c r="Q148" s="116" t="s">
        <v>1358</v>
      </c>
      <c r="U148" s="128"/>
      <c r="V148" s="128"/>
      <c r="W148" s="128"/>
      <c r="X148" s="128"/>
      <c r="Y148" s="128"/>
    </row>
    <row r="149" spans="1:26" x14ac:dyDescent="0.2">
      <c r="A149" s="120">
        <v>34</v>
      </c>
      <c r="B149" s="276"/>
      <c r="C149" s="116" t="s">
        <v>1365</v>
      </c>
      <c r="D149" s="120"/>
      <c r="F149" s="287">
        <v>0.72</v>
      </c>
      <c r="G149" s="287">
        <v>0.72</v>
      </c>
      <c r="H149" s="116" t="s">
        <v>1355</v>
      </c>
      <c r="I149" s="301">
        <f>0.00172*100</f>
        <v>0.17199999999999999</v>
      </c>
      <c r="J149" s="116" t="s">
        <v>1358</v>
      </c>
      <c r="K149" s="116"/>
      <c r="M149" s="287">
        <f t="shared" si="5"/>
        <v>0.72</v>
      </c>
      <c r="N149" s="287">
        <f t="shared" si="5"/>
        <v>0.72</v>
      </c>
      <c r="O149" s="116" t="s">
        <v>1355</v>
      </c>
      <c r="P149" s="301">
        <f t="shared" si="5"/>
        <v>0.17199999999999999</v>
      </c>
      <c r="Q149" s="116" t="s">
        <v>1358</v>
      </c>
      <c r="U149" s="128"/>
      <c r="V149" s="128"/>
      <c r="W149" s="128"/>
      <c r="X149" s="128"/>
      <c r="Y149" s="128"/>
    </row>
    <row r="150" spans="1:26" x14ac:dyDescent="0.2">
      <c r="A150" s="120">
        <v>35</v>
      </c>
      <c r="B150" s="276"/>
      <c r="C150" s="116" t="s">
        <v>1366</v>
      </c>
      <c r="D150" s="120"/>
      <c r="F150" s="301">
        <v>0</v>
      </c>
      <c r="G150" s="301">
        <v>0</v>
      </c>
      <c r="H150" s="116" t="s">
        <v>1358</v>
      </c>
      <c r="I150" s="301">
        <v>5.1999999999999998E-2</v>
      </c>
      <c r="J150" s="116" t="s">
        <v>1358</v>
      </c>
      <c r="K150" s="116"/>
      <c r="L150" s="301"/>
      <c r="M150" s="116"/>
      <c r="O150" s="286"/>
      <c r="P150" s="286"/>
      <c r="Q150" s="116"/>
      <c r="R150" s="289"/>
      <c r="S150" s="289"/>
      <c r="T150" s="116"/>
      <c r="U150" s="128"/>
      <c r="V150" s="128"/>
      <c r="W150" s="128"/>
      <c r="X150" s="128"/>
      <c r="Y150" s="128"/>
    </row>
    <row r="151" spans="1:26" x14ac:dyDescent="0.2">
      <c r="A151" s="120">
        <v>36</v>
      </c>
      <c r="B151" s="276"/>
      <c r="C151" s="128" t="s">
        <v>1381</v>
      </c>
      <c r="R151" s="128"/>
      <c r="S151" s="128"/>
      <c r="T151" s="128"/>
      <c r="U151" s="128"/>
      <c r="V151" s="128"/>
      <c r="W151" s="128"/>
      <c r="X151" s="128"/>
      <c r="Y151" s="128"/>
    </row>
    <row r="152" spans="1:26" x14ac:dyDescent="0.2">
      <c r="A152" s="120">
        <v>37</v>
      </c>
      <c r="B152" s="113"/>
      <c r="C152" s="128" t="s">
        <v>1382</v>
      </c>
      <c r="R152" s="128"/>
      <c r="S152" s="128"/>
      <c r="T152" s="128"/>
      <c r="U152" s="128"/>
      <c r="V152" s="128"/>
      <c r="W152" s="128"/>
      <c r="X152" s="128"/>
      <c r="Y152" s="128"/>
    </row>
    <row r="153" spans="1:26" x14ac:dyDescent="0.2">
      <c r="A153" s="120">
        <v>38</v>
      </c>
      <c r="B153" s="113"/>
      <c r="C153" s="128" t="s">
        <v>1383</v>
      </c>
      <c r="P153" s="126"/>
      <c r="Q153" s="126"/>
      <c r="R153" s="126"/>
      <c r="S153" s="126"/>
      <c r="T153" s="126"/>
      <c r="U153" s="126"/>
      <c r="V153" s="126"/>
      <c r="W153" s="126"/>
      <c r="X153" s="126"/>
      <c r="Y153" s="126"/>
    </row>
    <row r="154" spans="1:26" x14ac:dyDescent="0.2">
      <c r="A154" s="120">
        <v>39</v>
      </c>
      <c r="B154" s="113"/>
      <c r="C154" s="128" t="s">
        <v>1384</v>
      </c>
      <c r="P154" s="126"/>
      <c r="Q154" s="126"/>
      <c r="R154" s="126"/>
      <c r="S154" s="126"/>
      <c r="T154" s="126"/>
      <c r="U154" s="126"/>
      <c r="V154" s="126"/>
      <c r="W154" s="126"/>
      <c r="X154" s="126"/>
      <c r="Y154" s="126"/>
    </row>
    <row r="155" spans="1:26" x14ac:dyDescent="0.2">
      <c r="A155" s="120">
        <v>40</v>
      </c>
      <c r="B155" s="113"/>
      <c r="C155" s="128" t="s">
        <v>1385</v>
      </c>
      <c r="D155" s="113"/>
      <c r="E155" s="113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  <c r="W155" s="126"/>
      <c r="X155" s="126"/>
      <c r="Y155" s="126"/>
    </row>
    <row r="156" spans="1:26" x14ac:dyDescent="0.2">
      <c r="A156" s="120">
        <v>41</v>
      </c>
      <c r="B156" s="113"/>
      <c r="C156" s="128" t="s">
        <v>1386</v>
      </c>
      <c r="D156" s="113"/>
      <c r="E156" s="113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  <c r="W156" s="126"/>
      <c r="X156" s="126"/>
      <c r="Y156" s="126"/>
    </row>
    <row r="157" spans="1:26" ht="13.5" thickBot="1" x14ac:dyDescent="0.25">
      <c r="A157" s="120">
        <v>42</v>
      </c>
      <c r="B157" s="114"/>
      <c r="C157" s="302" t="s">
        <v>1387</v>
      </c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264"/>
    </row>
    <row r="158" spans="1:26" x14ac:dyDescent="0.2">
      <c r="A158" s="113" t="str">
        <f>+'A-2 for RS_GS_GSD'!$A$104</f>
        <v>Supporting Schedules:  E-13c, E-14 Supplement</v>
      </c>
      <c r="B158" s="113"/>
      <c r="C158" s="113"/>
      <c r="D158" s="113"/>
      <c r="E158" s="113"/>
      <c r="F158" s="113"/>
      <c r="G158" s="113"/>
      <c r="H158" s="113"/>
      <c r="I158" s="113"/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 t="s">
        <v>1369</v>
      </c>
      <c r="X158" s="113"/>
      <c r="Y158" s="113"/>
    </row>
    <row r="159" spans="1:26" x14ac:dyDescent="0.2">
      <c r="A159" s="113"/>
      <c r="B159" s="113"/>
      <c r="C159" s="113"/>
      <c r="D159" s="113"/>
      <c r="E159" s="113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</row>
    <row r="160" spans="1:26" x14ac:dyDescent="0.2">
      <c r="A160" s="113"/>
      <c r="B160" s="113"/>
      <c r="C160" s="113"/>
      <c r="D160" s="113"/>
      <c r="E160" s="113"/>
      <c r="F160" s="113"/>
      <c r="G160" s="113"/>
      <c r="H160" s="113"/>
      <c r="I160" s="113"/>
      <c r="J160" s="113"/>
      <c r="K160" s="113"/>
      <c r="L160" s="113"/>
      <c r="M160" s="116"/>
      <c r="N160" s="116"/>
      <c r="O160" s="113"/>
      <c r="P160" s="116"/>
      <c r="Q160" s="116"/>
      <c r="R160" s="116"/>
      <c r="S160" s="116"/>
      <c r="T160" s="116"/>
      <c r="U160" s="116"/>
      <c r="V160" s="116"/>
      <c r="W160" s="113"/>
      <c r="X160" s="113"/>
      <c r="Y160" s="116"/>
    </row>
    <row r="161" spans="1:25" x14ac:dyDescent="0.2">
      <c r="A161" s="113"/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7"/>
      <c r="N161" s="116"/>
      <c r="O161" s="113"/>
      <c r="P161" s="113"/>
      <c r="Q161" s="113"/>
      <c r="R161" s="113"/>
      <c r="S161" s="113"/>
      <c r="T161" s="113"/>
      <c r="U161" s="117"/>
      <c r="V161" s="117"/>
      <c r="W161" s="116"/>
      <c r="X161" s="113"/>
      <c r="Y161" s="117"/>
    </row>
    <row r="162" spans="1:25" x14ac:dyDescent="0.2">
      <c r="A162" s="113"/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7"/>
      <c r="N162" s="116"/>
      <c r="O162" s="117"/>
      <c r="P162" s="113"/>
      <c r="Q162" s="113"/>
      <c r="R162" s="113"/>
      <c r="S162" s="113"/>
      <c r="T162" s="113"/>
      <c r="U162" s="113"/>
      <c r="V162" s="116"/>
      <c r="W162" s="116"/>
      <c r="X162" s="113"/>
      <c r="Y162" s="117"/>
    </row>
    <row r="163" spans="1:25" x14ac:dyDescent="0.2">
      <c r="A163" s="113"/>
      <c r="B163" s="113"/>
      <c r="C163" s="113"/>
      <c r="D163" s="113"/>
      <c r="E163" s="113"/>
      <c r="F163" s="113"/>
      <c r="R163" s="113"/>
      <c r="S163" s="113"/>
      <c r="T163" s="113"/>
      <c r="U163" s="113"/>
      <c r="V163" s="117"/>
      <c r="W163" s="116"/>
      <c r="X163" s="113"/>
      <c r="Y163" s="117"/>
    </row>
    <row r="164" spans="1:25" x14ac:dyDescent="0.2">
      <c r="A164" s="113"/>
      <c r="B164" s="113"/>
      <c r="C164" s="113"/>
      <c r="D164" s="113"/>
      <c r="E164" s="113"/>
      <c r="F164" s="113"/>
      <c r="G164" s="113"/>
      <c r="H164" s="113"/>
      <c r="I164" s="113"/>
      <c r="J164" s="113"/>
      <c r="K164" s="113"/>
      <c r="L164" s="113"/>
      <c r="M164" s="120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</row>
    <row r="165" spans="1:25" x14ac:dyDescent="0.2">
      <c r="A165" s="113"/>
      <c r="B165" s="113"/>
      <c r="C165" s="113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spans="1:25" x14ac:dyDescent="0.2">
      <c r="A166" s="113"/>
      <c r="B166" s="113"/>
      <c r="C166" s="113"/>
      <c r="D166" s="113"/>
      <c r="E166" s="113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</row>
    <row r="167" spans="1:25" x14ac:dyDescent="0.2">
      <c r="A167" s="113"/>
      <c r="B167" s="120"/>
      <c r="C167" s="120"/>
      <c r="D167" s="120"/>
      <c r="E167" s="120"/>
      <c r="F167" s="120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spans="1:25" x14ac:dyDescent="0.2">
      <c r="A168" s="113"/>
      <c r="B168" s="120"/>
      <c r="C168" s="120"/>
      <c r="D168" s="120"/>
      <c r="E168" s="120"/>
      <c r="F168" s="120"/>
      <c r="G168" s="119"/>
      <c r="H168" s="303"/>
      <c r="I168" s="303"/>
      <c r="J168" s="303"/>
      <c r="K168" s="303"/>
      <c r="L168" s="303"/>
      <c r="M168" s="119"/>
      <c r="N168" s="120"/>
      <c r="O168" s="120"/>
      <c r="P168" s="119"/>
      <c r="Q168" s="119"/>
      <c r="R168" s="303"/>
      <c r="S168" s="303"/>
      <c r="T168" s="303"/>
      <c r="U168" s="119"/>
      <c r="V168" s="119"/>
      <c r="W168" s="119"/>
      <c r="X168" s="120"/>
      <c r="Y168" s="120"/>
    </row>
    <row r="169" spans="1:25" x14ac:dyDescent="0.2">
      <c r="A169" s="113"/>
      <c r="B169" s="304"/>
      <c r="C169" s="305"/>
      <c r="D169" s="305"/>
      <c r="E169" s="305"/>
      <c r="F169" s="305"/>
      <c r="G169" s="119"/>
      <c r="H169" s="305"/>
      <c r="I169" s="305"/>
      <c r="J169" s="305"/>
      <c r="K169" s="305"/>
      <c r="L169" s="305"/>
      <c r="M169" s="305"/>
      <c r="N169" s="119"/>
      <c r="O169" s="119"/>
      <c r="P169" s="119"/>
      <c r="Q169" s="119"/>
      <c r="R169" s="305"/>
      <c r="S169" s="305"/>
      <c r="T169" s="305"/>
      <c r="U169" s="305"/>
      <c r="V169" s="305"/>
      <c r="W169" s="305"/>
      <c r="X169" s="120"/>
      <c r="Y169" s="120"/>
    </row>
    <row r="170" spans="1:25" x14ac:dyDescent="0.2">
      <c r="A170" s="113"/>
      <c r="B170" s="306"/>
      <c r="C170" s="128"/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80"/>
      <c r="X170" s="288"/>
      <c r="Y170" s="307"/>
    </row>
    <row r="171" spans="1:25" x14ac:dyDescent="0.2">
      <c r="A171" s="113"/>
      <c r="B171" s="306"/>
      <c r="C171" s="128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80"/>
      <c r="X171" s="288"/>
      <c r="Y171" s="307"/>
    </row>
    <row r="172" spans="1:25" x14ac:dyDescent="0.2">
      <c r="A172" s="113"/>
      <c r="B172" s="306"/>
      <c r="C172" s="128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80"/>
      <c r="X172" s="288"/>
      <c r="Y172" s="307"/>
    </row>
    <row r="173" spans="1:25" x14ac:dyDescent="0.2">
      <c r="A173" s="113"/>
      <c r="D173" s="308"/>
      <c r="E173" s="308"/>
      <c r="F173" s="308"/>
      <c r="G173" s="308"/>
      <c r="H173" s="308"/>
      <c r="I173" s="308"/>
      <c r="J173" s="308"/>
      <c r="K173" s="308"/>
      <c r="L173" s="308"/>
      <c r="M173" s="308"/>
      <c r="N173" s="308"/>
      <c r="O173" s="308"/>
      <c r="P173" s="308"/>
      <c r="Q173" s="308"/>
      <c r="R173" s="308"/>
      <c r="S173" s="308"/>
      <c r="T173" s="308"/>
      <c r="U173" s="308"/>
      <c r="V173" s="278"/>
      <c r="W173" s="280"/>
      <c r="X173" s="292"/>
      <c r="Y173" s="282"/>
    </row>
    <row r="174" spans="1:25" x14ac:dyDescent="0.2">
      <c r="A174" s="113"/>
      <c r="B174" s="309"/>
      <c r="C174" s="128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80"/>
      <c r="X174" s="288"/>
      <c r="Y174" s="307"/>
    </row>
    <row r="175" spans="1:25" x14ac:dyDescent="0.2">
      <c r="A175" s="113"/>
      <c r="B175" s="309"/>
      <c r="C175" s="128"/>
      <c r="D175" s="278"/>
      <c r="E175" s="278"/>
      <c r="F175" s="278"/>
      <c r="G175" s="278"/>
      <c r="H175" s="278"/>
      <c r="I175" s="278"/>
      <c r="J175" s="278"/>
      <c r="K175" s="278"/>
      <c r="L175" s="278"/>
      <c r="M175" s="278"/>
      <c r="N175" s="278"/>
      <c r="O175" s="278"/>
      <c r="P175" s="278"/>
      <c r="Q175" s="278"/>
      <c r="R175" s="278"/>
      <c r="S175" s="278"/>
      <c r="T175" s="278"/>
      <c r="U175" s="278"/>
      <c r="V175" s="278"/>
      <c r="W175" s="280"/>
      <c r="X175" s="288"/>
      <c r="Y175" s="307"/>
    </row>
    <row r="176" spans="1:25" x14ac:dyDescent="0.2">
      <c r="A176" s="113"/>
      <c r="B176" s="309"/>
      <c r="C176" s="128"/>
      <c r="D176" s="278"/>
      <c r="E176" s="278"/>
      <c r="F176" s="278"/>
      <c r="G176" s="278"/>
      <c r="H176" s="278"/>
      <c r="I176" s="278"/>
      <c r="J176" s="278"/>
      <c r="K176" s="278"/>
      <c r="L176" s="278"/>
      <c r="M176" s="278"/>
      <c r="N176" s="278"/>
      <c r="O176" s="278"/>
      <c r="P176" s="278"/>
      <c r="Q176" s="278"/>
      <c r="R176" s="278"/>
      <c r="S176" s="278"/>
      <c r="T176" s="278"/>
      <c r="U176" s="278"/>
      <c r="V176" s="278"/>
      <c r="W176" s="280"/>
      <c r="X176" s="288"/>
      <c r="Y176" s="307"/>
    </row>
    <row r="177" spans="1:25" x14ac:dyDescent="0.2">
      <c r="A177" s="113"/>
      <c r="D177" s="308"/>
      <c r="E177" s="308"/>
      <c r="F177" s="308"/>
      <c r="G177" s="308"/>
      <c r="H177" s="308"/>
      <c r="I177" s="308"/>
      <c r="J177" s="308"/>
      <c r="K177" s="308"/>
      <c r="L177" s="308"/>
      <c r="M177" s="308"/>
      <c r="N177" s="308"/>
      <c r="O177" s="308"/>
      <c r="P177" s="308"/>
      <c r="Q177" s="308"/>
      <c r="R177" s="308"/>
      <c r="S177" s="308"/>
      <c r="T177" s="308"/>
      <c r="U177" s="308"/>
      <c r="V177" s="278"/>
      <c r="W177" s="280"/>
      <c r="X177" s="292"/>
      <c r="Y177" s="282"/>
    </row>
    <row r="178" spans="1:25" x14ac:dyDescent="0.2">
      <c r="A178" s="113"/>
      <c r="B178" s="310"/>
      <c r="C178" s="128"/>
      <c r="D178" s="278"/>
      <c r="E178" s="278"/>
      <c r="F178" s="278"/>
      <c r="G178" s="278"/>
      <c r="H178" s="278"/>
      <c r="I178" s="278"/>
      <c r="J178" s="278"/>
      <c r="K178" s="278"/>
      <c r="L178" s="278"/>
      <c r="M178" s="278"/>
      <c r="N178" s="278"/>
      <c r="O178" s="278"/>
      <c r="P178" s="278"/>
      <c r="Q178" s="278"/>
      <c r="R178" s="278"/>
      <c r="S178" s="278"/>
      <c r="T178" s="278"/>
      <c r="U178" s="278"/>
      <c r="V178" s="278"/>
      <c r="W178" s="280"/>
      <c r="X178" s="288"/>
      <c r="Y178" s="307"/>
    </row>
    <row r="179" spans="1:25" x14ac:dyDescent="0.2">
      <c r="A179" s="113"/>
      <c r="B179" s="310"/>
      <c r="C179" s="128"/>
      <c r="D179" s="278"/>
      <c r="E179" s="278"/>
      <c r="F179" s="278"/>
      <c r="G179" s="278"/>
      <c r="H179" s="278"/>
      <c r="I179" s="278"/>
      <c r="J179" s="278"/>
      <c r="K179" s="278"/>
      <c r="L179" s="278"/>
      <c r="M179" s="278"/>
      <c r="N179" s="278"/>
      <c r="O179" s="278"/>
      <c r="P179" s="278"/>
      <c r="Q179" s="278"/>
      <c r="R179" s="278"/>
      <c r="S179" s="278"/>
      <c r="T179" s="278"/>
      <c r="U179" s="278"/>
      <c r="V179" s="278"/>
      <c r="W179" s="280"/>
      <c r="X179" s="288"/>
      <c r="Y179" s="307"/>
    </row>
    <row r="180" spans="1:25" x14ac:dyDescent="0.2">
      <c r="A180" s="113"/>
      <c r="B180" s="310"/>
      <c r="C180" s="128"/>
      <c r="D180" s="278"/>
      <c r="E180" s="278"/>
      <c r="F180" s="278"/>
      <c r="G180" s="278"/>
      <c r="H180" s="278"/>
      <c r="I180" s="278"/>
      <c r="J180" s="278"/>
      <c r="K180" s="278"/>
      <c r="L180" s="278"/>
      <c r="M180" s="278"/>
      <c r="N180" s="278"/>
      <c r="O180" s="278"/>
      <c r="P180" s="278"/>
      <c r="Q180" s="278"/>
      <c r="R180" s="278"/>
      <c r="S180" s="278"/>
      <c r="T180" s="278"/>
      <c r="U180" s="278"/>
      <c r="V180" s="278"/>
      <c r="W180" s="280"/>
      <c r="X180" s="288"/>
      <c r="Y180" s="307"/>
    </row>
    <row r="181" spans="1:25" x14ac:dyDescent="0.2">
      <c r="A181" s="113"/>
      <c r="D181" s="311"/>
      <c r="E181" s="311"/>
      <c r="F181" s="311"/>
      <c r="G181" s="311"/>
      <c r="H181" s="311"/>
      <c r="I181" s="311"/>
      <c r="J181" s="311"/>
      <c r="K181" s="311"/>
      <c r="L181" s="311"/>
      <c r="M181" s="311"/>
      <c r="N181" s="311"/>
      <c r="O181" s="311"/>
      <c r="P181" s="311"/>
      <c r="Q181" s="311"/>
      <c r="R181" s="311"/>
      <c r="S181" s="311"/>
      <c r="T181" s="311"/>
      <c r="U181" s="311"/>
      <c r="V181" s="288"/>
      <c r="W181" s="280"/>
      <c r="X181" s="128"/>
      <c r="Y181" s="128"/>
    </row>
    <row r="182" spans="1:25" x14ac:dyDescent="0.2">
      <c r="A182" s="113"/>
      <c r="F182" s="374"/>
      <c r="G182" s="374"/>
      <c r="H182" s="120"/>
      <c r="I182" s="120"/>
      <c r="J182" s="120"/>
      <c r="K182" s="120"/>
      <c r="L182" s="120"/>
      <c r="M182" s="374"/>
      <c r="N182" s="374"/>
      <c r="O182" s="374"/>
      <c r="P182" s="374"/>
    </row>
    <row r="183" spans="1:25" x14ac:dyDescent="0.2">
      <c r="A183" s="113"/>
      <c r="C183" s="120"/>
      <c r="D183" s="120"/>
      <c r="E183" s="120"/>
      <c r="F183" s="120"/>
      <c r="G183" s="120"/>
      <c r="H183" s="113"/>
      <c r="I183" s="113"/>
      <c r="J183" s="113"/>
      <c r="K183" s="113"/>
      <c r="N183" s="120"/>
      <c r="O183" s="113"/>
    </row>
    <row r="184" spans="1:25" x14ac:dyDescent="0.2">
      <c r="A184" s="113"/>
      <c r="C184" s="116"/>
      <c r="D184" s="120"/>
      <c r="E184" s="120"/>
      <c r="F184" s="287"/>
      <c r="G184" s="287"/>
      <c r="H184" s="116"/>
      <c r="I184" s="116"/>
      <c r="J184" s="116"/>
      <c r="K184" s="116"/>
      <c r="N184" s="286"/>
      <c r="O184" s="116"/>
    </row>
    <row r="185" spans="1:25" x14ac:dyDescent="0.2">
      <c r="A185" s="113"/>
      <c r="C185" s="116"/>
      <c r="D185" s="120"/>
      <c r="F185" s="287"/>
      <c r="G185" s="287"/>
      <c r="H185" s="116"/>
      <c r="I185" s="116"/>
      <c r="J185" s="116"/>
      <c r="K185" s="116"/>
      <c r="N185" s="286"/>
      <c r="O185" s="116"/>
      <c r="Q185" s="288"/>
      <c r="R185" s="288"/>
      <c r="S185" s="288"/>
      <c r="T185" s="288"/>
      <c r="U185" s="288"/>
      <c r="V185" s="128"/>
      <c r="W185" s="280"/>
      <c r="X185" s="128"/>
      <c r="Y185" s="128"/>
    </row>
    <row r="186" spans="1:25" x14ac:dyDescent="0.2">
      <c r="A186" s="113"/>
      <c r="B186" s="310"/>
      <c r="C186" s="116"/>
      <c r="D186" s="120"/>
      <c r="F186" s="301"/>
      <c r="G186" s="301"/>
      <c r="H186" s="116"/>
      <c r="I186" s="116"/>
      <c r="J186" s="116"/>
      <c r="K186" s="116"/>
      <c r="N186" s="289"/>
      <c r="O186" s="116"/>
      <c r="Q186" s="288"/>
      <c r="R186" s="288"/>
      <c r="S186" s="288"/>
      <c r="T186" s="288"/>
      <c r="U186" s="288"/>
      <c r="V186" s="288"/>
      <c r="W186" s="280"/>
      <c r="X186" s="288"/>
      <c r="Y186" s="307"/>
    </row>
    <row r="187" spans="1:25" x14ac:dyDescent="0.2">
      <c r="A187" s="113"/>
      <c r="B187" s="310"/>
      <c r="C187" s="116"/>
      <c r="D187" s="120"/>
      <c r="F187" s="145"/>
      <c r="G187" s="145"/>
      <c r="H187" s="116"/>
      <c r="I187" s="116"/>
      <c r="J187" s="116"/>
      <c r="K187" s="116"/>
      <c r="N187" s="289"/>
      <c r="O187" s="116"/>
      <c r="Q187" s="288"/>
      <c r="R187" s="288"/>
      <c r="S187" s="288"/>
      <c r="T187" s="288"/>
      <c r="U187" s="288"/>
      <c r="V187" s="288"/>
      <c r="W187" s="280"/>
      <c r="X187" s="288"/>
      <c r="Y187" s="307"/>
    </row>
    <row r="188" spans="1:25" x14ac:dyDescent="0.2">
      <c r="A188" s="113"/>
      <c r="B188" s="310"/>
      <c r="C188" s="290"/>
      <c r="F188" s="145"/>
      <c r="G188" s="145"/>
      <c r="H188" s="116"/>
      <c r="I188" s="116"/>
      <c r="J188" s="116"/>
      <c r="K188" s="116"/>
      <c r="N188" s="286"/>
      <c r="O188" s="116"/>
      <c r="Q188" s="288"/>
      <c r="R188" s="288"/>
      <c r="S188" s="288"/>
      <c r="T188" s="288"/>
      <c r="U188" s="288"/>
      <c r="V188" s="288"/>
      <c r="W188" s="280"/>
      <c r="X188" s="288"/>
      <c r="Y188" s="307"/>
    </row>
    <row r="189" spans="1:25" x14ac:dyDescent="0.2">
      <c r="A189" s="113"/>
      <c r="B189" s="310"/>
      <c r="C189" s="290"/>
      <c r="F189" s="145"/>
      <c r="G189" s="145"/>
      <c r="H189" s="116"/>
      <c r="I189" s="116"/>
      <c r="J189" s="116"/>
      <c r="K189" s="116"/>
      <c r="N189" s="286"/>
      <c r="O189" s="116"/>
      <c r="Q189" s="128"/>
      <c r="R189" s="128"/>
      <c r="S189" s="128"/>
      <c r="T189" s="128"/>
      <c r="U189" s="128"/>
      <c r="V189" s="128"/>
      <c r="W189" s="280"/>
      <c r="X189" s="128"/>
      <c r="Y189" s="128"/>
    </row>
    <row r="190" spans="1:25" x14ac:dyDescent="0.2">
      <c r="A190" s="113"/>
      <c r="B190" s="310"/>
      <c r="C190" s="116"/>
      <c r="D190" s="120"/>
      <c r="F190" s="145"/>
      <c r="G190" s="145"/>
      <c r="H190" s="116"/>
      <c r="I190" s="116"/>
      <c r="J190" s="116"/>
      <c r="K190" s="116"/>
      <c r="N190" s="286"/>
      <c r="O190" s="116"/>
      <c r="Q190" s="288"/>
      <c r="R190" s="288"/>
      <c r="S190" s="288"/>
      <c r="T190" s="288"/>
      <c r="U190" s="288"/>
      <c r="V190" s="288"/>
      <c r="W190" s="280"/>
      <c r="X190" s="288"/>
      <c r="Y190" s="307"/>
    </row>
    <row r="191" spans="1:25" x14ac:dyDescent="0.2">
      <c r="A191" s="113"/>
      <c r="B191" s="310"/>
      <c r="C191" s="116"/>
      <c r="D191" s="120"/>
      <c r="F191" s="145"/>
      <c r="G191" s="145"/>
      <c r="H191" s="116"/>
      <c r="I191" s="116"/>
      <c r="J191" s="116"/>
      <c r="K191" s="116"/>
      <c r="N191" s="286"/>
      <c r="O191" s="116"/>
      <c r="Q191" s="288"/>
      <c r="R191" s="288"/>
      <c r="S191" s="288"/>
      <c r="T191" s="288"/>
      <c r="U191" s="288"/>
      <c r="V191" s="288"/>
      <c r="W191" s="280"/>
      <c r="X191" s="288"/>
      <c r="Y191" s="307"/>
    </row>
    <row r="192" spans="1:25" x14ac:dyDescent="0.2">
      <c r="A192" s="113"/>
      <c r="B192" s="310"/>
      <c r="C192" s="116"/>
      <c r="D192" s="120"/>
      <c r="F192" s="145"/>
      <c r="G192" s="145"/>
      <c r="H192" s="116"/>
      <c r="I192" s="116"/>
      <c r="J192" s="116"/>
      <c r="K192" s="116"/>
      <c r="N192" s="289"/>
      <c r="O192" s="116"/>
      <c r="Q192" s="288"/>
      <c r="R192" s="288"/>
      <c r="S192" s="288"/>
      <c r="T192" s="288"/>
      <c r="U192" s="288"/>
      <c r="V192" s="288"/>
      <c r="W192" s="280"/>
      <c r="X192" s="288"/>
      <c r="Y192" s="307"/>
    </row>
    <row r="193" spans="1:25" x14ac:dyDescent="0.2">
      <c r="A193" s="113"/>
      <c r="C193" s="137"/>
      <c r="F193" s="287"/>
      <c r="G193" s="287"/>
      <c r="H193" s="116"/>
      <c r="I193" s="116"/>
      <c r="J193" s="116"/>
      <c r="K193" s="116"/>
      <c r="N193" s="286"/>
      <c r="O193" s="116"/>
      <c r="V193" s="128"/>
      <c r="W193" s="128"/>
      <c r="X193" s="128"/>
      <c r="Y193" s="128"/>
    </row>
    <row r="194" spans="1:25" x14ac:dyDescent="0.2">
      <c r="A194" s="113"/>
      <c r="B194" s="310"/>
      <c r="C194" s="113"/>
      <c r="N194" s="286"/>
      <c r="O194" s="113"/>
      <c r="Q194" s="288"/>
      <c r="R194" s="288"/>
      <c r="S194" s="288"/>
      <c r="T194" s="288"/>
      <c r="U194" s="288"/>
      <c r="V194" s="288"/>
      <c r="W194" s="280"/>
      <c r="X194" s="288"/>
      <c r="Y194" s="307"/>
    </row>
    <row r="195" spans="1:25" x14ac:dyDescent="0.2">
      <c r="A195" s="113"/>
      <c r="B195" s="310"/>
      <c r="Q195" s="288"/>
      <c r="R195" s="288"/>
      <c r="S195" s="288"/>
      <c r="T195" s="288"/>
      <c r="U195" s="288"/>
      <c r="V195" s="288"/>
      <c r="W195" s="280"/>
      <c r="X195" s="288"/>
      <c r="Y195" s="307"/>
    </row>
    <row r="196" spans="1:25" x14ac:dyDescent="0.2">
      <c r="A196" s="113"/>
      <c r="B196" s="310"/>
      <c r="Q196" s="288"/>
      <c r="R196" s="288"/>
      <c r="S196" s="288"/>
      <c r="T196" s="288"/>
      <c r="U196" s="288"/>
      <c r="V196" s="288"/>
      <c r="W196" s="280"/>
      <c r="X196" s="288"/>
      <c r="Y196" s="307"/>
    </row>
    <row r="197" spans="1:25" x14ac:dyDescent="0.2">
      <c r="A197" s="113"/>
      <c r="V197" s="128"/>
      <c r="W197" s="128"/>
      <c r="X197" s="128"/>
      <c r="Y197" s="128"/>
    </row>
    <row r="198" spans="1:25" x14ac:dyDescent="0.2">
      <c r="A198" s="113"/>
      <c r="V198" s="128"/>
      <c r="W198" s="128"/>
      <c r="X198" s="128"/>
      <c r="Y198" s="128"/>
    </row>
    <row r="199" spans="1:25" x14ac:dyDescent="0.2">
      <c r="A199" s="113"/>
      <c r="B199" s="276"/>
      <c r="C199" s="128"/>
      <c r="Q199" s="128"/>
      <c r="R199" s="128"/>
      <c r="S199" s="128"/>
      <c r="T199" s="128"/>
      <c r="U199" s="128"/>
      <c r="V199" s="128"/>
      <c r="W199" s="128"/>
      <c r="X199" s="128"/>
      <c r="Y199" s="128"/>
    </row>
    <row r="200" spans="1:25" x14ac:dyDescent="0.2">
      <c r="A200" s="113"/>
      <c r="B200" s="276"/>
      <c r="C200" s="128"/>
      <c r="R200" s="128"/>
      <c r="S200" s="128"/>
      <c r="T200" s="128"/>
      <c r="U200" s="128"/>
      <c r="V200" s="128"/>
      <c r="W200" s="128"/>
      <c r="X200" s="128"/>
      <c r="Y200" s="128"/>
    </row>
    <row r="201" spans="1:25" x14ac:dyDescent="0.2">
      <c r="A201" s="113"/>
      <c r="B201" s="276"/>
      <c r="C201" s="128"/>
      <c r="R201" s="128"/>
      <c r="S201" s="128"/>
      <c r="T201" s="128"/>
      <c r="U201" s="128"/>
      <c r="V201" s="128"/>
      <c r="W201" s="128"/>
      <c r="X201" s="128"/>
      <c r="Y201" s="128"/>
    </row>
    <row r="202" spans="1:25" x14ac:dyDescent="0.2">
      <c r="A202" s="113"/>
      <c r="B202" s="276"/>
      <c r="C202" s="128"/>
      <c r="R202" s="128"/>
      <c r="S202" s="128"/>
      <c r="T202" s="128"/>
      <c r="U202" s="128"/>
      <c r="V202" s="128"/>
      <c r="W202" s="128"/>
      <c r="X202" s="128"/>
      <c r="Y202" s="128"/>
    </row>
    <row r="203" spans="1:25" x14ac:dyDescent="0.2">
      <c r="A203" s="113"/>
      <c r="B203" s="276"/>
      <c r="C203" s="128"/>
      <c r="N203" s="128"/>
      <c r="O203" s="128"/>
      <c r="R203" s="128"/>
      <c r="S203" s="128"/>
      <c r="T203" s="128"/>
      <c r="U203" s="128"/>
      <c r="V203" s="128"/>
      <c r="W203" s="128"/>
      <c r="X203" s="128"/>
      <c r="Y203" s="128"/>
    </row>
    <row r="204" spans="1:25" x14ac:dyDescent="0.2">
      <c r="A204" s="113"/>
      <c r="B204" s="113"/>
      <c r="C204" s="128"/>
      <c r="N204" s="126"/>
      <c r="O204" s="128"/>
      <c r="R204" s="126"/>
      <c r="S204" s="126"/>
      <c r="T204" s="126"/>
      <c r="U204" s="126"/>
      <c r="V204" s="126"/>
      <c r="W204" s="126"/>
      <c r="X204" s="126"/>
      <c r="Y204" s="126"/>
    </row>
    <row r="205" spans="1:25" x14ac:dyDescent="0.2">
      <c r="A205" s="113"/>
      <c r="B205" s="113"/>
      <c r="C205" s="128"/>
      <c r="N205" s="126"/>
      <c r="O205" s="128"/>
      <c r="R205" s="126"/>
      <c r="S205" s="126"/>
      <c r="T205" s="126"/>
      <c r="U205" s="126"/>
      <c r="V205" s="126"/>
      <c r="W205" s="126"/>
      <c r="X205" s="126"/>
      <c r="Y205" s="126"/>
    </row>
    <row r="206" spans="1:25" x14ac:dyDescent="0.2">
      <c r="A206" s="113"/>
      <c r="B206" s="113"/>
      <c r="N206" s="126"/>
      <c r="O206" s="128"/>
      <c r="R206" s="126"/>
      <c r="S206" s="126"/>
      <c r="T206" s="126"/>
      <c r="U206" s="126"/>
      <c r="V206" s="126"/>
      <c r="W206" s="126"/>
      <c r="X206" s="126"/>
      <c r="Y206" s="126"/>
    </row>
    <row r="207" spans="1:25" x14ac:dyDescent="0.2">
      <c r="A207" s="113"/>
      <c r="B207" s="113"/>
      <c r="D207" s="113"/>
      <c r="E207" s="113"/>
      <c r="N207" s="126"/>
      <c r="O207" s="126"/>
      <c r="R207" s="126"/>
      <c r="S207" s="126"/>
      <c r="T207" s="126"/>
      <c r="U207" s="126"/>
      <c r="V207" s="126"/>
      <c r="W207" s="126"/>
      <c r="X207" s="126"/>
      <c r="Y207" s="126"/>
    </row>
    <row r="208" spans="1:25" x14ac:dyDescent="0.2">
      <c r="A208" s="113"/>
      <c r="B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</row>
    <row r="209" spans="1:25" x14ac:dyDescent="0.2">
      <c r="A209" s="113"/>
      <c r="B209" s="113"/>
      <c r="C209" s="113"/>
      <c r="D209" s="113"/>
      <c r="E209" s="113"/>
      <c r="F209" s="113"/>
      <c r="G209" s="113"/>
      <c r="H209" s="113"/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</row>
    <row r="210" spans="1:25" x14ac:dyDescent="0.2">
      <c r="A210" s="113"/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</row>
    <row r="211" spans="1:25" x14ac:dyDescent="0.2">
      <c r="A211" s="113"/>
      <c r="B211" s="113"/>
      <c r="C211" s="113"/>
      <c r="D211" s="113"/>
      <c r="E211" s="113"/>
      <c r="F211" s="113"/>
      <c r="G211" s="113"/>
      <c r="H211" s="113"/>
      <c r="I211" s="113"/>
      <c r="J211" s="113"/>
      <c r="K211" s="113"/>
      <c r="L211" s="113"/>
      <c r="M211" s="116"/>
      <c r="N211" s="116"/>
      <c r="O211" s="113"/>
      <c r="P211" s="116"/>
      <c r="Q211" s="116"/>
      <c r="R211" s="116"/>
      <c r="S211" s="116"/>
      <c r="T211" s="116"/>
      <c r="U211" s="116"/>
      <c r="V211" s="116"/>
      <c r="W211" s="113"/>
      <c r="X211" s="113"/>
      <c r="Y211" s="116"/>
    </row>
    <row r="212" spans="1:25" x14ac:dyDescent="0.2">
      <c r="A212" s="113"/>
      <c r="B212" s="113"/>
      <c r="C212" s="113"/>
      <c r="D212" s="113"/>
      <c r="E212" s="113"/>
      <c r="F212" s="113"/>
      <c r="G212" s="113"/>
      <c r="H212" s="113"/>
      <c r="I212" s="113"/>
      <c r="J212" s="113"/>
      <c r="K212" s="113"/>
      <c r="L212" s="113"/>
      <c r="M212" s="117"/>
      <c r="N212" s="116"/>
      <c r="O212" s="113"/>
      <c r="P212" s="113"/>
      <c r="Q212" s="113"/>
      <c r="R212" s="113"/>
      <c r="S212" s="113"/>
      <c r="T212" s="113"/>
      <c r="U212" s="117"/>
      <c r="V212" s="117"/>
      <c r="W212" s="116"/>
      <c r="X212" s="113"/>
      <c r="Y212" s="117"/>
    </row>
    <row r="213" spans="1:25" x14ac:dyDescent="0.2">
      <c r="A213" s="113"/>
      <c r="B213" s="113"/>
      <c r="C213" s="113"/>
      <c r="D213" s="113"/>
      <c r="E213" s="113"/>
      <c r="F213" s="113"/>
      <c r="G213" s="113"/>
      <c r="H213" s="113"/>
      <c r="I213" s="113"/>
      <c r="J213" s="113"/>
      <c r="K213" s="113"/>
      <c r="L213" s="113"/>
      <c r="M213" s="117"/>
      <c r="N213" s="116"/>
      <c r="O213" s="117"/>
      <c r="P213" s="113"/>
      <c r="Q213" s="113"/>
      <c r="R213" s="113"/>
      <c r="S213" s="113"/>
      <c r="T213" s="113"/>
      <c r="U213" s="113"/>
      <c r="V213" s="116"/>
      <c r="W213" s="116"/>
      <c r="X213" s="113"/>
      <c r="Y213" s="117"/>
    </row>
    <row r="214" spans="1:25" x14ac:dyDescent="0.2">
      <c r="A214" s="113"/>
      <c r="B214" s="113"/>
      <c r="C214" s="113"/>
      <c r="D214" s="113"/>
      <c r="E214" s="113"/>
      <c r="F214" s="113"/>
      <c r="G214" s="372"/>
      <c r="H214" s="372"/>
      <c r="I214" s="372"/>
      <c r="J214" s="372"/>
      <c r="K214" s="372"/>
      <c r="L214" s="372"/>
      <c r="M214" s="372"/>
      <c r="N214" s="372"/>
      <c r="O214" s="372"/>
      <c r="P214" s="372"/>
      <c r="Q214" s="372"/>
      <c r="R214" s="113"/>
      <c r="S214" s="113"/>
      <c r="T214" s="113"/>
      <c r="U214" s="113"/>
      <c r="V214" s="117"/>
      <c r="W214" s="116"/>
      <c r="X214" s="113"/>
      <c r="Y214" s="117"/>
    </row>
    <row r="215" spans="1:25" x14ac:dyDescent="0.2">
      <c r="A215" s="113"/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20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</row>
    <row r="216" spans="1:25" x14ac:dyDescent="0.2">
      <c r="A216" s="113"/>
      <c r="B216" s="374"/>
      <c r="C216" s="374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spans="1:25" x14ac:dyDescent="0.2">
      <c r="A217" s="113"/>
      <c r="B217" s="374"/>
      <c r="C217" s="374"/>
      <c r="D217" s="374"/>
      <c r="E217" s="374"/>
      <c r="F217" s="374"/>
      <c r="G217" s="374"/>
      <c r="H217" s="374"/>
      <c r="I217" s="374"/>
      <c r="J217" s="374"/>
      <c r="K217" s="374"/>
      <c r="L217" s="374"/>
      <c r="M217" s="374"/>
      <c r="N217" s="374"/>
      <c r="O217" s="374"/>
      <c r="P217" s="374"/>
      <c r="Q217" s="374"/>
      <c r="R217" s="374"/>
      <c r="S217" s="374"/>
      <c r="T217" s="374"/>
      <c r="U217" s="374"/>
      <c r="V217" s="374"/>
      <c r="W217" s="374"/>
      <c r="X217" s="374"/>
      <c r="Y217" s="374"/>
    </row>
    <row r="218" spans="1:25" x14ac:dyDescent="0.2">
      <c r="A218" s="113"/>
      <c r="B218" s="120"/>
      <c r="C218" s="120"/>
      <c r="D218" s="120"/>
      <c r="E218" s="120"/>
      <c r="F218" s="120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spans="1:25" x14ac:dyDescent="0.2">
      <c r="A219" s="113"/>
      <c r="B219" s="120"/>
      <c r="C219" s="120"/>
      <c r="D219" s="120"/>
      <c r="E219" s="120"/>
      <c r="F219" s="120"/>
      <c r="G219" s="119"/>
      <c r="H219" s="303"/>
      <c r="I219" s="303"/>
      <c r="J219" s="303"/>
      <c r="K219" s="303"/>
      <c r="L219" s="303"/>
      <c r="M219" s="119"/>
      <c r="N219" s="120"/>
      <c r="O219" s="120"/>
      <c r="P219" s="119"/>
      <c r="Q219" s="119"/>
      <c r="R219" s="303"/>
      <c r="S219" s="303"/>
      <c r="T219" s="303"/>
      <c r="U219" s="119"/>
      <c r="V219" s="119"/>
      <c r="W219" s="119"/>
      <c r="X219" s="120"/>
      <c r="Y219" s="120"/>
    </row>
    <row r="220" spans="1:25" x14ac:dyDescent="0.2">
      <c r="A220" s="113"/>
      <c r="B220" s="304"/>
      <c r="C220" s="305"/>
      <c r="D220" s="305"/>
      <c r="E220" s="305"/>
      <c r="F220" s="305"/>
      <c r="G220" s="119"/>
      <c r="H220" s="305"/>
      <c r="I220" s="305"/>
      <c r="J220" s="305"/>
      <c r="K220" s="305"/>
      <c r="L220" s="305"/>
      <c r="M220" s="305"/>
      <c r="N220" s="119"/>
      <c r="O220" s="119"/>
      <c r="P220" s="119"/>
      <c r="Q220" s="119"/>
      <c r="R220" s="305"/>
      <c r="S220" s="305"/>
      <c r="T220" s="305"/>
      <c r="U220" s="305"/>
      <c r="V220" s="305"/>
      <c r="W220" s="305"/>
      <c r="X220" s="120"/>
      <c r="Y220" s="120"/>
    </row>
    <row r="221" spans="1:25" x14ac:dyDescent="0.2">
      <c r="A221" s="113"/>
      <c r="B221" s="306"/>
      <c r="C221" s="128"/>
      <c r="D221" s="278"/>
      <c r="E221" s="278"/>
      <c r="F221" s="278"/>
      <c r="G221" s="278"/>
      <c r="H221" s="278"/>
      <c r="I221" s="278"/>
      <c r="J221" s="278"/>
      <c r="K221" s="278"/>
      <c r="L221" s="278"/>
      <c r="M221" s="278"/>
      <c r="N221" s="278"/>
      <c r="O221" s="278"/>
      <c r="P221" s="278"/>
      <c r="Q221" s="278"/>
      <c r="R221" s="278"/>
      <c r="S221" s="278"/>
      <c r="T221" s="278"/>
      <c r="U221" s="278"/>
      <c r="V221" s="278"/>
      <c r="W221" s="280"/>
      <c r="X221" s="288"/>
      <c r="Y221" s="307"/>
    </row>
    <row r="222" spans="1:25" x14ac:dyDescent="0.2">
      <c r="A222" s="113"/>
      <c r="B222" s="306"/>
      <c r="C222" s="128"/>
      <c r="D222" s="278"/>
      <c r="E222" s="278"/>
      <c r="F222" s="278"/>
      <c r="G222" s="278"/>
      <c r="H222" s="278"/>
      <c r="I222" s="278"/>
      <c r="J222" s="278"/>
      <c r="K222" s="278"/>
      <c r="L222" s="278"/>
      <c r="M222" s="278"/>
      <c r="N222" s="278"/>
      <c r="O222" s="278"/>
      <c r="P222" s="278"/>
      <c r="Q222" s="278"/>
      <c r="R222" s="278"/>
      <c r="S222" s="278"/>
      <c r="T222" s="278"/>
      <c r="U222" s="278"/>
      <c r="V222" s="278"/>
      <c r="W222" s="280"/>
      <c r="X222" s="288"/>
      <c r="Y222" s="307"/>
    </row>
    <row r="223" spans="1:25" x14ac:dyDescent="0.2">
      <c r="A223" s="113"/>
      <c r="B223" s="306"/>
      <c r="C223" s="128"/>
      <c r="D223" s="278"/>
      <c r="E223" s="278"/>
      <c r="F223" s="278"/>
      <c r="G223" s="278"/>
      <c r="H223" s="278"/>
      <c r="I223" s="278"/>
      <c r="J223" s="278"/>
      <c r="K223" s="278"/>
      <c r="L223" s="278"/>
      <c r="M223" s="278"/>
      <c r="N223" s="278"/>
      <c r="O223" s="278"/>
      <c r="P223" s="278"/>
      <c r="Q223" s="278"/>
      <c r="R223" s="278"/>
      <c r="S223" s="278"/>
      <c r="T223" s="278"/>
      <c r="U223" s="278"/>
      <c r="V223" s="278"/>
      <c r="W223" s="280"/>
      <c r="X223" s="288"/>
      <c r="Y223" s="307"/>
    </row>
    <row r="224" spans="1:25" x14ac:dyDescent="0.2">
      <c r="A224" s="113"/>
      <c r="B224" s="276"/>
      <c r="D224" s="278"/>
      <c r="E224" s="278"/>
      <c r="F224" s="278"/>
      <c r="G224" s="278"/>
      <c r="H224" s="278"/>
      <c r="I224" s="278"/>
      <c r="J224" s="278"/>
      <c r="K224" s="278"/>
      <c r="L224" s="278"/>
      <c r="M224" s="278"/>
      <c r="N224" s="308"/>
      <c r="O224" s="308"/>
      <c r="P224" s="308"/>
      <c r="Q224" s="308"/>
      <c r="R224" s="308"/>
      <c r="S224" s="308"/>
      <c r="T224" s="308"/>
      <c r="U224" s="308"/>
      <c r="V224" s="278"/>
      <c r="W224" s="280"/>
      <c r="X224" s="292"/>
      <c r="Y224" s="282"/>
    </row>
    <row r="225" spans="1:25" x14ac:dyDescent="0.2">
      <c r="A225" s="113"/>
      <c r="B225" s="309"/>
      <c r="C225" s="128"/>
      <c r="D225" s="278"/>
      <c r="E225" s="278"/>
      <c r="F225" s="278"/>
      <c r="G225" s="278"/>
      <c r="H225" s="278"/>
      <c r="I225" s="278"/>
      <c r="J225" s="278"/>
      <c r="K225" s="278"/>
      <c r="L225" s="278"/>
      <c r="M225" s="278"/>
      <c r="N225" s="278"/>
      <c r="O225" s="278"/>
      <c r="P225" s="278"/>
      <c r="Q225" s="278"/>
      <c r="R225" s="278"/>
      <c r="S225" s="278"/>
      <c r="T225" s="278"/>
      <c r="U225" s="278"/>
      <c r="V225" s="278"/>
      <c r="W225" s="280"/>
      <c r="X225" s="288"/>
      <c r="Y225" s="307"/>
    </row>
    <row r="226" spans="1:25" x14ac:dyDescent="0.2">
      <c r="A226" s="113"/>
      <c r="B226" s="309"/>
      <c r="C226" s="128"/>
      <c r="D226" s="278"/>
      <c r="E226" s="278"/>
      <c r="F226" s="278"/>
      <c r="G226" s="278"/>
      <c r="H226" s="278"/>
      <c r="I226" s="278"/>
      <c r="J226" s="278"/>
      <c r="K226" s="278"/>
      <c r="L226" s="278"/>
      <c r="M226" s="278"/>
      <c r="N226" s="278"/>
      <c r="O226" s="278"/>
      <c r="P226" s="278"/>
      <c r="Q226" s="278"/>
      <c r="R226" s="278"/>
      <c r="S226" s="278"/>
      <c r="T226" s="278"/>
      <c r="U226" s="278"/>
      <c r="V226" s="278"/>
      <c r="W226" s="280"/>
      <c r="X226" s="288"/>
      <c r="Y226" s="307"/>
    </row>
    <row r="227" spans="1:25" x14ac:dyDescent="0.2">
      <c r="A227" s="113"/>
      <c r="B227" s="309"/>
      <c r="C227" s="128"/>
      <c r="D227" s="278"/>
      <c r="E227" s="278"/>
      <c r="F227" s="278"/>
      <c r="G227" s="278"/>
      <c r="H227" s="278"/>
      <c r="I227" s="278"/>
      <c r="J227" s="278"/>
      <c r="K227" s="278"/>
      <c r="L227" s="278"/>
      <c r="M227" s="278"/>
      <c r="N227" s="278"/>
      <c r="O227" s="278"/>
      <c r="P227" s="278"/>
      <c r="Q227" s="278"/>
      <c r="R227" s="278"/>
      <c r="S227" s="278"/>
      <c r="T227" s="278"/>
      <c r="U227" s="278"/>
      <c r="V227" s="278"/>
      <c r="W227" s="280"/>
      <c r="X227" s="288"/>
      <c r="Y227" s="307"/>
    </row>
    <row r="228" spans="1:25" x14ac:dyDescent="0.2">
      <c r="A228" s="113"/>
      <c r="B228" s="309"/>
      <c r="D228" s="278"/>
      <c r="E228" s="278"/>
      <c r="F228" s="278"/>
      <c r="G228" s="278"/>
      <c r="H228" s="278"/>
      <c r="I228" s="278"/>
      <c r="J228" s="278"/>
      <c r="K228" s="278"/>
      <c r="L228" s="278"/>
      <c r="M228" s="278"/>
      <c r="N228" s="308"/>
      <c r="O228" s="308"/>
      <c r="P228" s="308"/>
      <c r="Q228" s="308"/>
      <c r="R228" s="308"/>
      <c r="S228" s="308"/>
      <c r="T228" s="308"/>
      <c r="U228" s="308"/>
      <c r="V228" s="278"/>
      <c r="W228" s="280"/>
      <c r="X228" s="292"/>
      <c r="Y228" s="282"/>
    </row>
    <row r="229" spans="1:25" x14ac:dyDescent="0.2">
      <c r="A229" s="113"/>
      <c r="B229" s="310"/>
      <c r="C229" s="128"/>
      <c r="D229" s="278"/>
      <c r="E229" s="278"/>
      <c r="F229" s="278"/>
      <c r="G229" s="278"/>
      <c r="H229" s="278"/>
      <c r="I229" s="278"/>
      <c r="J229" s="278"/>
      <c r="K229" s="278"/>
      <c r="L229" s="278"/>
      <c r="M229" s="278"/>
      <c r="N229" s="278"/>
      <c r="O229" s="278"/>
      <c r="P229" s="278"/>
      <c r="Q229" s="278"/>
      <c r="R229" s="278"/>
      <c r="S229" s="278"/>
      <c r="T229" s="278"/>
      <c r="U229" s="278"/>
      <c r="V229" s="278"/>
      <c r="W229" s="280"/>
      <c r="X229" s="288"/>
      <c r="Y229" s="307"/>
    </row>
    <row r="230" spans="1:25" x14ac:dyDescent="0.2">
      <c r="A230" s="113"/>
      <c r="B230" s="310"/>
      <c r="C230" s="128"/>
      <c r="D230" s="278"/>
      <c r="E230" s="278"/>
      <c r="F230" s="278"/>
      <c r="G230" s="278"/>
      <c r="H230" s="278"/>
      <c r="I230" s="278"/>
      <c r="J230" s="278"/>
      <c r="K230" s="278"/>
      <c r="L230" s="278"/>
      <c r="M230" s="278"/>
      <c r="N230" s="278"/>
      <c r="O230" s="278"/>
      <c r="P230" s="278"/>
      <c r="Q230" s="278"/>
      <c r="R230" s="278"/>
      <c r="S230" s="278"/>
      <c r="T230" s="278"/>
      <c r="U230" s="278"/>
      <c r="V230" s="278"/>
      <c r="W230" s="280"/>
      <c r="X230" s="288"/>
      <c r="Y230" s="307"/>
    </row>
    <row r="231" spans="1:25" x14ac:dyDescent="0.2">
      <c r="A231" s="113"/>
      <c r="B231" s="310"/>
      <c r="C231" s="128"/>
      <c r="D231" s="278"/>
      <c r="E231" s="278"/>
      <c r="F231" s="278"/>
      <c r="G231" s="278"/>
      <c r="H231" s="278"/>
      <c r="I231" s="278"/>
      <c r="J231" s="278"/>
      <c r="K231" s="278"/>
      <c r="L231" s="278"/>
      <c r="M231" s="278"/>
      <c r="N231" s="278"/>
      <c r="O231" s="278"/>
      <c r="P231" s="278"/>
      <c r="Q231" s="278"/>
      <c r="R231" s="278"/>
      <c r="S231" s="278"/>
      <c r="T231" s="278"/>
      <c r="U231" s="278"/>
      <c r="V231" s="278"/>
      <c r="W231" s="280"/>
      <c r="X231" s="288"/>
      <c r="Y231" s="307"/>
    </row>
    <row r="232" spans="1:25" x14ac:dyDescent="0.2">
      <c r="A232" s="113"/>
      <c r="D232" s="288"/>
      <c r="E232" s="288"/>
      <c r="F232" s="288"/>
      <c r="G232" s="288"/>
      <c r="H232" s="288"/>
      <c r="I232" s="288"/>
      <c r="J232" s="288"/>
      <c r="K232" s="288"/>
      <c r="L232" s="288"/>
      <c r="M232" s="288"/>
      <c r="N232" s="311"/>
      <c r="O232" s="311"/>
      <c r="P232" s="311"/>
      <c r="Q232" s="311"/>
      <c r="R232" s="311"/>
      <c r="S232" s="311"/>
      <c r="T232" s="311"/>
      <c r="U232" s="311"/>
      <c r="V232" s="288"/>
      <c r="W232" s="280"/>
      <c r="X232" s="128"/>
      <c r="Y232" s="128"/>
    </row>
    <row r="233" spans="1:25" x14ac:dyDescent="0.2">
      <c r="A233" s="113"/>
    </row>
    <row r="234" spans="1:25" x14ac:dyDescent="0.2">
      <c r="A234" s="113"/>
      <c r="F234" s="374"/>
      <c r="G234" s="374"/>
      <c r="H234" s="120"/>
      <c r="I234" s="120"/>
      <c r="J234" s="120"/>
      <c r="K234" s="120"/>
      <c r="L234" s="120"/>
      <c r="M234" s="374"/>
      <c r="N234" s="374"/>
      <c r="O234" s="374"/>
      <c r="P234" s="374"/>
    </row>
    <row r="235" spans="1:25" x14ac:dyDescent="0.2">
      <c r="A235" s="113"/>
      <c r="C235" s="120"/>
      <c r="D235" s="120"/>
      <c r="E235" s="120"/>
      <c r="F235" s="120"/>
      <c r="G235" s="120"/>
      <c r="H235" s="113"/>
      <c r="I235" s="113"/>
      <c r="J235" s="113"/>
      <c r="K235" s="113"/>
      <c r="N235" s="120"/>
      <c r="O235" s="113"/>
    </row>
    <row r="236" spans="1:25" x14ac:dyDescent="0.2">
      <c r="A236" s="113"/>
      <c r="C236" s="116"/>
      <c r="D236" s="120"/>
      <c r="E236" s="120"/>
      <c r="F236" s="287"/>
      <c r="G236" s="287"/>
      <c r="H236" s="116"/>
      <c r="I236" s="116"/>
      <c r="J236" s="116"/>
      <c r="K236" s="116"/>
      <c r="L236" s="312"/>
      <c r="M236" s="312"/>
      <c r="N236" s="286"/>
      <c r="O236" s="116"/>
    </row>
    <row r="237" spans="1:25" x14ac:dyDescent="0.2">
      <c r="A237" s="113"/>
      <c r="C237" s="116"/>
      <c r="D237" s="120"/>
      <c r="F237" s="287"/>
      <c r="G237" s="287"/>
      <c r="H237" s="116"/>
      <c r="I237" s="116"/>
      <c r="J237" s="116"/>
      <c r="K237" s="116"/>
      <c r="N237" s="286"/>
      <c r="O237" s="116"/>
      <c r="Q237" s="288"/>
      <c r="R237" s="288"/>
      <c r="S237" s="288"/>
      <c r="T237" s="288"/>
      <c r="U237" s="288"/>
      <c r="V237" s="128"/>
      <c r="W237" s="280"/>
      <c r="X237" s="128"/>
      <c r="Y237" s="128"/>
    </row>
    <row r="238" spans="1:25" x14ac:dyDescent="0.2">
      <c r="A238" s="113"/>
      <c r="B238" s="310"/>
      <c r="C238" s="116"/>
      <c r="D238" s="120"/>
      <c r="F238" s="301"/>
      <c r="G238" s="301"/>
      <c r="H238" s="116"/>
      <c r="I238" s="116"/>
      <c r="J238" s="116"/>
      <c r="K238" s="116"/>
      <c r="N238" s="289"/>
      <c r="O238" s="116"/>
      <c r="Q238" s="288"/>
      <c r="R238" s="288"/>
      <c r="S238" s="288"/>
      <c r="T238" s="288"/>
      <c r="U238" s="288"/>
      <c r="V238" s="288"/>
      <c r="W238" s="280"/>
      <c r="X238" s="288"/>
      <c r="Y238" s="307"/>
    </row>
    <row r="239" spans="1:25" x14ac:dyDescent="0.2">
      <c r="A239" s="113"/>
      <c r="B239" s="310"/>
      <c r="C239" s="116"/>
      <c r="D239" s="120"/>
      <c r="F239" s="301"/>
      <c r="G239" s="301"/>
      <c r="H239" s="116"/>
      <c r="I239" s="116"/>
      <c r="J239" s="116"/>
      <c r="K239" s="116"/>
      <c r="N239" s="289"/>
      <c r="O239" s="116"/>
      <c r="Q239" s="288"/>
      <c r="R239" s="288"/>
      <c r="S239" s="288"/>
      <c r="T239" s="288"/>
      <c r="U239" s="288"/>
      <c r="V239" s="288"/>
      <c r="W239" s="280"/>
      <c r="X239" s="288"/>
      <c r="Y239" s="307"/>
    </row>
    <row r="240" spans="1:25" x14ac:dyDescent="0.2">
      <c r="A240" s="113"/>
      <c r="B240" s="310"/>
      <c r="C240" s="290"/>
      <c r="F240" s="301"/>
      <c r="G240" s="301"/>
      <c r="H240" s="116"/>
      <c r="I240" s="116"/>
      <c r="J240" s="116"/>
      <c r="K240" s="116"/>
      <c r="N240" s="289"/>
      <c r="O240" s="116"/>
      <c r="Q240" s="288"/>
      <c r="R240" s="288"/>
      <c r="S240" s="288"/>
      <c r="T240" s="288"/>
      <c r="U240" s="288"/>
      <c r="V240" s="288"/>
      <c r="W240" s="280"/>
      <c r="X240" s="288"/>
      <c r="Y240" s="307"/>
    </row>
    <row r="241" spans="1:25" x14ac:dyDescent="0.2">
      <c r="A241" s="113"/>
      <c r="B241" s="310"/>
      <c r="C241" s="290"/>
      <c r="F241" s="301"/>
      <c r="G241" s="301"/>
      <c r="H241" s="116"/>
      <c r="I241" s="116"/>
      <c r="J241" s="116"/>
      <c r="K241" s="116"/>
      <c r="N241" s="289"/>
      <c r="O241" s="116"/>
      <c r="Q241" s="288"/>
      <c r="R241" s="128"/>
      <c r="S241" s="128"/>
      <c r="T241" s="128"/>
      <c r="U241" s="128"/>
      <c r="V241" s="128"/>
      <c r="W241" s="280"/>
      <c r="X241" s="128"/>
      <c r="Y241" s="128"/>
    </row>
    <row r="242" spans="1:25" x14ac:dyDescent="0.2">
      <c r="A242" s="113"/>
      <c r="B242" s="310"/>
      <c r="C242" s="116"/>
      <c r="D242" s="120"/>
      <c r="F242" s="301"/>
      <c r="G242" s="301"/>
      <c r="H242" s="116"/>
      <c r="I242" s="116"/>
      <c r="J242" s="116"/>
      <c r="K242" s="116"/>
      <c r="N242" s="286"/>
      <c r="O242" s="116"/>
      <c r="Q242" s="288"/>
      <c r="R242" s="288"/>
      <c r="S242" s="288"/>
      <c r="T242" s="288"/>
      <c r="U242" s="288"/>
      <c r="V242" s="288"/>
      <c r="W242" s="280"/>
      <c r="X242" s="288"/>
      <c r="Y242" s="307"/>
    </row>
    <row r="243" spans="1:25" x14ac:dyDescent="0.2">
      <c r="A243" s="113"/>
      <c r="B243" s="310"/>
      <c r="C243" s="116"/>
      <c r="D243" s="120"/>
      <c r="F243" s="301"/>
      <c r="G243" s="301"/>
      <c r="H243" s="116"/>
      <c r="I243" s="116"/>
      <c r="J243" s="116"/>
      <c r="K243" s="116"/>
      <c r="N243" s="286"/>
      <c r="O243" s="116"/>
      <c r="R243" s="288"/>
      <c r="S243" s="288"/>
      <c r="T243" s="288"/>
      <c r="U243" s="288"/>
      <c r="V243" s="288"/>
      <c r="W243" s="280"/>
      <c r="X243" s="288"/>
      <c r="Y243" s="307"/>
    </row>
    <row r="244" spans="1:25" x14ac:dyDescent="0.2">
      <c r="A244" s="113"/>
      <c r="B244" s="310"/>
      <c r="C244" s="116"/>
      <c r="D244" s="120"/>
      <c r="F244" s="301"/>
      <c r="G244" s="301"/>
      <c r="H244" s="116"/>
      <c r="I244" s="116"/>
      <c r="J244" s="116"/>
      <c r="K244" s="116"/>
      <c r="N244" s="289"/>
      <c r="O244" s="116"/>
      <c r="Q244" s="288"/>
      <c r="R244" s="288"/>
      <c r="S244" s="288"/>
      <c r="T244" s="288"/>
      <c r="U244" s="288"/>
      <c r="V244" s="288"/>
      <c r="W244" s="280"/>
      <c r="X244" s="288"/>
      <c r="Y244" s="307"/>
    </row>
    <row r="245" spans="1:25" x14ac:dyDescent="0.2">
      <c r="A245" s="113"/>
      <c r="C245" s="137"/>
      <c r="F245" s="287"/>
      <c r="G245" s="287"/>
      <c r="H245" s="116"/>
      <c r="I245" s="116"/>
      <c r="J245" s="116"/>
      <c r="K245" s="116"/>
      <c r="N245" s="286"/>
      <c r="O245" s="116"/>
      <c r="Q245" s="288"/>
      <c r="V245" s="128"/>
      <c r="W245" s="128"/>
      <c r="X245" s="128"/>
      <c r="Y245" s="128"/>
    </row>
    <row r="246" spans="1:25" x14ac:dyDescent="0.2">
      <c r="A246" s="113"/>
      <c r="B246" s="310"/>
      <c r="C246" s="113"/>
      <c r="N246" s="286"/>
      <c r="O246" s="113"/>
      <c r="Q246" s="288"/>
      <c r="R246" s="288"/>
      <c r="S246" s="288"/>
      <c r="T246" s="288"/>
      <c r="U246" s="288"/>
      <c r="V246" s="288"/>
      <c r="W246" s="280"/>
      <c r="X246" s="288"/>
      <c r="Y246" s="307"/>
    </row>
    <row r="247" spans="1:25" x14ac:dyDescent="0.2">
      <c r="A247" s="113"/>
      <c r="B247" s="310"/>
      <c r="Q247" s="288"/>
      <c r="R247" s="288"/>
      <c r="S247" s="288"/>
      <c r="T247" s="288"/>
      <c r="U247" s="288"/>
      <c r="V247" s="288"/>
      <c r="W247" s="280"/>
      <c r="X247" s="288"/>
      <c r="Y247" s="307"/>
    </row>
    <row r="248" spans="1:25" x14ac:dyDescent="0.2">
      <c r="A248" s="113"/>
      <c r="B248" s="310"/>
      <c r="Q248" s="128"/>
      <c r="R248" s="288"/>
      <c r="S248" s="288"/>
      <c r="T248" s="288"/>
      <c r="U248" s="288"/>
      <c r="V248" s="288"/>
      <c r="W248" s="280"/>
      <c r="X248" s="288"/>
      <c r="Y248" s="307"/>
    </row>
    <row r="249" spans="1:25" x14ac:dyDescent="0.2">
      <c r="A249" s="113"/>
      <c r="B249" s="310"/>
      <c r="Q249" s="128"/>
      <c r="R249" s="288"/>
      <c r="S249" s="288"/>
      <c r="T249" s="288"/>
      <c r="U249" s="288"/>
      <c r="V249" s="128"/>
      <c r="W249" s="128"/>
      <c r="X249" s="128"/>
      <c r="Y249" s="128"/>
    </row>
    <row r="250" spans="1:25" x14ac:dyDescent="0.2">
      <c r="A250" s="113"/>
      <c r="B250" s="276"/>
      <c r="C250" s="128"/>
      <c r="Q250" s="128"/>
      <c r="R250" s="128"/>
      <c r="S250" s="128"/>
      <c r="T250" s="128"/>
      <c r="U250" s="128"/>
      <c r="V250" s="128"/>
      <c r="W250" s="128"/>
      <c r="X250" s="128"/>
      <c r="Y250" s="128"/>
    </row>
    <row r="251" spans="1:25" x14ac:dyDescent="0.2">
      <c r="A251" s="113"/>
      <c r="B251" s="276"/>
      <c r="C251" s="128"/>
      <c r="Q251" s="128"/>
      <c r="R251" s="128"/>
      <c r="S251" s="128"/>
      <c r="T251" s="128"/>
      <c r="U251" s="128"/>
      <c r="V251" s="128"/>
      <c r="W251" s="128"/>
      <c r="X251" s="128"/>
      <c r="Y251" s="128"/>
    </row>
    <row r="252" spans="1:25" x14ac:dyDescent="0.2">
      <c r="A252" s="113"/>
      <c r="B252" s="276"/>
      <c r="C252" s="128"/>
      <c r="Q252" s="128"/>
      <c r="R252" s="128"/>
      <c r="S252" s="128"/>
      <c r="T252" s="128"/>
      <c r="U252" s="128"/>
      <c r="V252" s="128"/>
      <c r="W252" s="128"/>
      <c r="X252" s="128"/>
      <c r="Y252" s="128"/>
    </row>
    <row r="253" spans="1:25" x14ac:dyDescent="0.2">
      <c r="A253" s="113"/>
      <c r="B253" s="276"/>
      <c r="C253" s="128"/>
      <c r="O253" s="128"/>
      <c r="P253" s="126"/>
      <c r="Q253" s="126"/>
      <c r="R253" s="128"/>
      <c r="S253" s="128"/>
      <c r="T253" s="128"/>
      <c r="U253" s="128"/>
      <c r="V253" s="128"/>
      <c r="W253" s="128"/>
      <c r="X253" s="128"/>
      <c r="Y253" s="128"/>
    </row>
    <row r="254" spans="1:25" x14ac:dyDescent="0.2">
      <c r="A254" s="113"/>
      <c r="B254" s="276"/>
      <c r="C254" s="128"/>
      <c r="O254" s="128"/>
      <c r="P254" s="126"/>
      <c r="Q254" s="126"/>
      <c r="R254" s="128"/>
      <c r="S254" s="128"/>
      <c r="T254" s="128"/>
      <c r="U254" s="128"/>
      <c r="V254" s="128"/>
      <c r="W254" s="128"/>
      <c r="X254" s="128"/>
      <c r="Y254" s="128"/>
    </row>
    <row r="255" spans="1:25" x14ac:dyDescent="0.2">
      <c r="A255" s="113"/>
      <c r="B255" s="113"/>
      <c r="C255" s="128"/>
      <c r="O255" s="128"/>
      <c r="P255" s="126"/>
      <c r="Q255" s="126"/>
      <c r="R255" s="126"/>
      <c r="S255" s="126"/>
      <c r="T255" s="126"/>
      <c r="U255" s="126"/>
      <c r="V255" s="126"/>
      <c r="W255" s="126"/>
      <c r="X255" s="126"/>
      <c r="Y255" s="126"/>
    </row>
    <row r="256" spans="1:25" x14ac:dyDescent="0.2">
      <c r="A256" s="113"/>
      <c r="B256" s="113"/>
      <c r="C256" s="128"/>
      <c r="P256" s="126"/>
      <c r="Q256" s="126"/>
      <c r="R256" s="126"/>
      <c r="S256" s="126"/>
      <c r="T256" s="126"/>
      <c r="U256" s="126"/>
      <c r="V256" s="126"/>
      <c r="W256" s="126"/>
      <c r="X256" s="126"/>
      <c r="Y256" s="126"/>
    </row>
    <row r="257" spans="1:25" x14ac:dyDescent="0.2">
      <c r="A257" s="113"/>
      <c r="B257" s="113"/>
      <c r="D257" s="113"/>
      <c r="E257" s="113"/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26"/>
      <c r="S257" s="126"/>
      <c r="T257" s="126"/>
      <c r="U257" s="126"/>
      <c r="V257" s="126"/>
      <c r="W257" s="126"/>
      <c r="X257" s="126"/>
      <c r="Y257" s="126"/>
    </row>
    <row r="258" spans="1:25" x14ac:dyDescent="0.2">
      <c r="A258" s="113"/>
      <c r="B258" s="113"/>
      <c r="R258" s="126"/>
      <c r="S258" s="126"/>
      <c r="T258" s="126"/>
      <c r="U258" s="126"/>
      <c r="V258" s="126"/>
      <c r="W258" s="126"/>
      <c r="X258" s="126"/>
      <c r="Y258" s="126"/>
    </row>
    <row r="259" spans="1:25" x14ac:dyDescent="0.2">
      <c r="A259" s="113"/>
      <c r="B259" s="113"/>
      <c r="R259" s="113"/>
      <c r="S259" s="113"/>
      <c r="T259" s="113"/>
      <c r="U259" s="113"/>
      <c r="V259" s="113"/>
      <c r="W259" s="113"/>
      <c r="X259" s="113"/>
      <c r="Y259" s="113"/>
    </row>
    <row r="260" spans="1:25" x14ac:dyDescent="0.2">
      <c r="A260" s="113"/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</row>
    <row r="261" spans="1:25" x14ac:dyDescent="0.2">
      <c r="A261" s="113"/>
      <c r="B261" s="113"/>
      <c r="C261" s="113"/>
      <c r="D261" s="113"/>
      <c r="E261" s="113"/>
      <c r="F261" s="113"/>
      <c r="G261" s="113"/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</row>
    <row r="262" spans="1:25" x14ac:dyDescent="0.2">
      <c r="A262" s="113"/>
      <c r="B262" s="113"/>
      <c r="C262" s="113"/>
      <c r="D262" s="113"/>
      <c r="E262" s="113"/>
      <c r="F262" s="113"/>
      <c r="G262" s="113"/>
      <c r="H262" s="113"/>
      <c r="I262" s="113"/>
      <c r="J262" s="113"/>
      <c r="K262" s="113"/>
      <c r="L262" s="113"/>
      <c r="M262" s="116"/>
      <c r="N262" s="116"/>
      <c r="O262" s="113"/>
      <c r="P262" s="116"/>
      <c r="Q262" s="116"/>
      <c r="R262" s="116"/>
      <c r="S262" s="116"/>
      <c r="T262" s="116"/>
      <c r="U262" s="116"/>
      <c r="V262" s="116"/>
      <c r="W262" s="113"/>
      <c r="X262" s="113"/>
      <c r="Y262" s="116"/>
    </row>
    <row r="263" spans="1:25" x14ac:dyDescent="0.2">
      <c r="A263" s="113"/>
      <c r="B263" s="113"/>
      <c r="C263" s="113"/>
      <c r="D263" s="113"/>
      <c r="E263" s="113"/>
      <c r="F263" s="113"/>
      <c r="G263" s="113"/>
      <c r="H263" s="113"/>
      <c r="I263" s="113"/>
      <c r="J263" s="113"/>
      <c r="K263" s="113"/>
      <c r="L263" s="113"/>
      <c r="M263" s="117"/>
      <c r="N263" s="116"/>
      <c r="O263" s="113"/>
      <c r="P263" s="113"/>
      <c r="Q263" s="113"/>
      <c r="R263" s="113"/>
      <c r="S263" s="113"/>
      <c r="T263" s="113"/>
      <c r="U263" s="117"/>
      <c r="V263" s="117"/>
      <c r="W263" s="116"/>
      <c r="X263" s="113"/>
      <c r="Y263" s="117"/>
    </row>
    <row r="264" spans="1:25" x14ac:dyDescent="0.2">
      <c r="A264" s="113"/>
      <c r="B264" s="113"/>
      <c r="C264" s="113"/>
      <c r="D264" s="113"/>
      <c r="E264" s="113"/>
      <c r="F264" s="113"/>
      <c r="G264" s="113"/>
      <c r="H264" s="113"/>
      <c r="I264" s="113"/>
      <c r="J264" s="113"/>
      <c r="K264" s="113"/>
      <c r="L264" s="113"/>
      <c r="M264" s="117"/>
      <c r="N264" s="116"/>
      <c r="O264" s="117"/>
      <c r="P264" s="113"/>
      <c r="Q264" s="113"/>
      <c r="R264" s="113"/>
      <c r="S264" s="113"/>
      <c r="T264" s="113"/>
      <c r="U264" s="113"/>
      <c r="V264" s="116"/>
      <c r="W264" s="116"/>
      <c r="X264" s="113"/>
      <c r="Y264" s="117"/>
    </row>
    <row r="265" spans="1:25" x14ac:dyDescent="0.2">
      <c r="A265" s="113"/>
      <c r="B265" s="113"/>
      <c r="C265" s="113"/>
      <c r="D265" s="113"/>
      <c r="E265" s="113"/>
      <c r="F265" s="113"/>
      <c r="G265" s="113"/>
      <c r="H265" s="113"/>
      <c r="I265" s="113"/>
      <c r="J265" s="113"/>
      <c r="K265" s="113"/>
      <c r="L265" s="113"/>
      <c r="M265" s="117"/>
      <c r="N265" s="116"/>
      <c r="O265" s="117"/>
      <c r="P265" s="113"/>
      <c r="Q265" s="113"/>
      <c r="R265" s="113"/>
      <c r="S265" s="113"/>
      <c r="T265" s="113"/>
      <c r="U265" s="113"/>
      <c r="V265" s="117"/>
      <c r="W265" s="116"/>
      <c r="X265" s="113"/>
      <c r="Y265" s="117"/>
    </row>
    <row r="266" spans="1:25" x14ac:dyDescent="0.2">
      <c r="A266" s="113"/>
      <c r="B266" s="113"/>
      <c r="C266" s="113"/>
      <c r="D266" s="113"/>
      <c r="E266" s="113"/>
      <c r="F266" s="113"/>
      <c r="G266" s="113"/>
      <c r="H266" s="113"/>
      <c r="I266" s="113"/>
      <c r="J266" s="113"/>
      <c r="K266" s="113"/>
      <c r="L266" s="113"/>
      <c r="M266" s="120"/>
      <c r="N266" s="113"/>
      <c r="O266" s="113"/>
      <c r="P266" s="113"/>
      <c r="Q266" s="113"/>
      <c r="R266" s="113"/>
      <c r="S266" s="113"/>
      <c r="T266" s="113"/>
      <c r="U266" s="113"/>
      <c r="V266" s="113"/>
      <c r="W266" s="113"/>
      <c r="X266" s="113"/>
      <c r="Y266" s="113"/>
    </row>
    <row r="267" spans="1:25" x14ac:dyDescent="0.2">
      <c r="A267" s="113"/>
      <c r="B267" s="113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spans="1:25" x14ac:dyDescent="0.2">
      <c r="A268" s="113"/>
      <c r="B268" s="113"/>
      <c r="C268" s="120"/>
      <c r="D268" s="120"/>
      <c r="E268" s="120"/>
      <c r="F268" s="120"/>
      <c r="G268" s="120"/>
      <c r="H268" s="120"/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16"/>
      <c r="Y268" s="120"/>
    </row>
    <row r="269" spans="1:25" x14ac:dyDescent="0.2">
      <c r="A269" s="113"/>
      <c r="B269" s="120"/>
      <c r="C269" s="120"/>
      <c r="D269" s="120"/>
      <c r="E269" s="120"/>
      <c r="F269" s="120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spans="1:25" x14ac:dyDescent="0.2">
      <c r="A270" s="113"/>
      <c r="B270" s="120"/>
      <c r="C270" s="120"/>
      <c r="D270" s="120"/>
      <c r="E270" s="120"/>
      <c r="F270" s="120"/>
      <c r="G270" s="119"/>
      <c r="H270" s="303"/>
      <c r="I270" s="303"/>
      <c r="J270" s="303"/>
      <c r="K270" s="303"/>
      <c r="L270" s="303"/>
      <c r="M270" s="119"/>
      <c r="N270" s="120"/>
      <c r="O270" s="120"/>
      <c r="P270" s="119"/>
      <c r="Q270" s="119"/>
      <c r="R270" s="303"/>
      <c r="S270" s="303"/>
      <c r="T270" s="303"/>
      <c r="U270" s="119"/>
      <c r="V270" s="119"/>
      <c r="W270" s="119"/>
      <c r="X270" s="120"/>
      <c r="Y270" s="120"/>
    </row>
    <row r="271" spans="1:25" x14ac:dyDescent="0.2">
      <c r="A271" s="113"/>
      <c r="B271" s="304"/>
      <c r="C271" s="305"/>
      <c r="D271" s="305"/>
      <c r="E271" s="305"/>
      <c r="F271" s="305"/>
      <c r="G271" s="119"/>
      <c r="H271" s="305"/>
      <c r="I271" s="305"/>
      <c r="J271" s="305"/>
      <c r="K271" s="305"/>
      <c r="L271" s="305"/>
      <c r="M271" s="305"/>
      <c r="N271" s="119"/>
      <c r="O271" s="119"/>
      <c r="P271" s="119"/>
      <c r="Q271" s="119"/>
      <c r="R271" s="305"/>
      <c r="S271" s="305"/>
      <c r="T271" s="305"/>
      <c r="U271" s="305"/>
      <c r="V271" s="305"/>
      <c r="W271" s="305"/>
      <c r="X271" s="120"/>
      <c r="Y271" s="120"/>
    </row>
    <row r="272" spans="1:25" x14ac:dyDescent="0.2">
      <c r="A272" s="113"/>
      <c r="B272" s="306"/>
      <c r="C272" s="128"/>
      <c r="D272" s="288"/>
      <c r="E272" s="288"/>
      <c r="F272" s="288"/>
      <c r="G272" s="288"/>
      <c r="H272" s="288"/>
      <c r="I272" s="288"/>
      <c r="J272" s="288"/>
      <c r="K272" s="288"/>
      <c r="L272" s="288"/>
      <c r="M272" s="288"/>
      <c r="N272" s="278"/>
      <c r="O272" s="278"/>
      <c r="P272" s="288"/>
      <c r="Q272" s="288"/>
      <c r="R272" s="288"/>
      <c r="S272" s="288"/>
      <c r="T272" s="288"/>
      <c r="U272" s="288"/>
      <c r="V272" s="278"/>
      <c r="W272" s="280"/>
      <c r="X272" s="282"/>
      <c r="Y272" s="282"/>
    </row>
    <row r="273" spans="1:25" x14ac:dyDescent="0.2">
      <c r="A273" s="113"/>
      <c r="B273" s="306"/>
      <c r="C273" s="128"/>
      <c r="D273" s="288"/>
      <c r="E273" s="288"/>
      <c r="F273" s="288"/>
      <c r="G273" s="288"/>
      <c r="H273" s="288"/>
      <c r="I273" s="288"/>
      <c r="J273" s="288"/>
      <c r="K273" s="288"/>
      <c r="L273" s="288"/>
      <c r="M273" s="288"/>
      <c r="N273" s="313"/>
      <c r="O273" s="278"/>
      <c r="P273" s="278"/>
      <c r="Q273" s="278"/>
      <c r="R273" s="278"/>
      <c r="S273" s="278"/>
      <c r="T273" s="278"/>
      <c r="U273" s="288"/>
      <c r="V273" s="288"/>
      <c r="W273" s="280"/>
      <c r="X273" s="292"/>
      <c r="Y273" s="282"/>
    </row>
    <row r="274" spans="1:25" x14ac:dyDescent="0.2">
      <c r="A274" s="113"/>
      <c r="B274" s="306"/>
      <c r="C274" s="128"/>
      <c r="D274" s="288"/>
      <c r="E274" s="288"/>
      <c r="F274" s="288"/>
      <c r="G274" s="288"/>
      <c r="H274" s="288"/>
      <c r="I274" s="288"/>
      <c r="J274" s="288"/>
      <c r="K274" s="288"/>
      <c r="L274" s="288"/>
      <c r="M274" s="288"/>
      <c r="N274" s="313"/>
      <c r="O274" s="278"/>
      <c r="P274" s="278"/>
      <c r="Q274" s="278"/>
      <c r="R274" s="278"/>
      <c r="S274" s="278"/>
      <c r="T274" s="278"/>
      <c r="U274" s="288"/>
      <c r="V274" s="288"/>
      <c r="W274" s="280"/>
      <c r="X274" s="292"/>
      <c r="Y274" s="282"/>
    </row>
    <row r="275" spans="1:25" x14ac:dyDescent="0.2">
      <c r="A275" s="113"/>
      <c r="B275" s="306"/>
      <c r="C275" s="128"/>
      <c r="D275" s="288"/>
      <c r="E275" s="288"/>
      <c r="F275" s="288"/>
      <c r="G275" s="288"/>
      <c r="H275" s="288"/>
      <c r="I275" s="288"/>
      <c r="J275" s="288"/>
      <c r="K275" s="288"/>
      <c r="L275" s="288"/>
      <c r="M275" s="288"/>
      <c r="N275" s="313"/>
      <c r="O275" s="278"/>
      <c r="P275" s="278"/>
      <c r="Q275" s="278"/>
      <c r="R275" s="278"/>
      <c r="S275" s="278"/>
      <c r="T275" s="278"/>
      <c r="U275" s="288"/>
      <c r="V275" s="288"/>
      <c r="W275" s="280"/>
      <c r="X275" s="292"/>
      <c r="Y275" s="282"/>
    </row>
    <row r="276" spans="1:25" x14ac:dyDescent="0.2">
      <c r="A276" s="113"/>
      <c r="B276" s="276"/>
      <c r="C276" s="128"/>
      <c r="D276" s="313"/>
      <c r="E276" s="288"/>
      <c r="F276" s="288"/>
      <c r="G276" s="278"/>
      <c r="H276" s="278"/>
      <c r="I276" s="278"/>
      <c r="J276" s="278"/>
      <c r="K276" s="278"/>
      <c r="L276" s="278"/>
      <c r="M276" s="288"/>
      <c r="N276" s="313"/>
      <c r="O276" s="278"/>
      <c r="P276" s="278"/>
      <c r="Q276" s="278"/>
      <c r="R276" s="278"/>
      <c r="S276" s="278"/>
      <c r="T276" s="278"/>
      <c r="U276" s="288"/>
      <c r="V276" s="288"/>
      <c r="W276" s="280"/>
      <c r="X276" s="292"/>
      <c r="Y276" s="282"/>
    </row>
    <row r="277" spans="1:25" x14ac:dyDescent="0.2">
      <c r="A277" s="113"/>
      <c r="B277" s="309"/>
      <c r="C277" s="128"/>
      <c r="D277" s="288"/>
      <c r="E277" s="288"/>
      <c r="F277" s="288"/>
      <c r="G277" s="288"/>
      <c r="H277" s="288"/>
      <c r="I277" s="288"/>
      <c r="J277" s="288"/>
      <c r="K277" s="288"/>
      <c r="L277" s="288"/>
      <c r="M277" s="288"/>
      <c r="N277" s="313"/>
      <c r="O277" s="278"/>
      <c r="P277" s="278"/>
      <c r="Q277" s="278"/>
      <c r="R277" s="278"/>
      <c r="S277" s="278"/>
      <c r="T277" s="278"/>
      <c r="U277" s="288"/>
      <c r="V277" s="288"/>
      <c r="W277" s="280"/>
      <c r="X277" s="292"/>
      <c r="Y277" s="282"/>
    </row>
    <row r="278" spans="1:25" x14ac:dyDescent="0.2">
      <c r="A278" s="113"/>
      <c r="B278" s="309"/>
      <c r="C278" s="128"/>
      <c r="D278" s="288"/>
      <c r="E278" s="288"/>
      <c r="F278" s="288"/>
      <c r="G278" s="288"/>
      <c r="H278" s="288"/>
      <c r="I278" s="288"/>
      <c r="J278" s="288"/>
      <c r="K278" s="288"/>
      <c r="L278" s="288"/>
      <c r="M278" s="288"/>
      <c r="N278" s="288"/>
      <c r="O278" s="278"/>
      <c r="P278" s="278"/>
      <c r="Q278" s="278"/>
      <c r="R278" s="278"/>
      <c r="S278" s="278"/>
      <c r="T278" s="278"/>
      <c r="U278" s="288"/>
      <c r="V278" s="288"/>
      <c r="W278" s="280"/>
      <c r="X278" s="292"/>
      <c r="Y278" s="282"/>
    </row>
    <row r="279" spans="1:25" x14ac:dyDescent="0.2">
      <c r="A279" s="113"/>
      <c r="B279" s="309"/>
      <c r="C279" s="128"/>
      <c r="D279" s="288"/>
      <c r="E279" s="288"/>
      <c r="F279" s="288"/>
      <c r="G279" s="288"/>
      <c r="H279" s="288"/>
      <c r="I279" s="288"/>
      <c r="J279" s="288"/>
      <c r="K279" s="288"/>
      <c r="L279" s="288"/>
      <c r="M279" s="288"/>
      <c r="N279" s="288"/>
      <c r="O279" s="278"/>
      <c r="P279" s="278"/>
      <c r="Q279" s="278"/>
      <c r="R279" s="278"/>
      <c r="S279" s="278"/>
      <c r="T279" s="278"/>
      <c r="U279" s="288"/>
      <c r="V279" s="288"/>
      <c r="W279" s="280"/>
      <c r="X279" s="292"/>
      <c r="Y279" s="282"/>
    </row>
    <row r="280" spans="1:25" x14ac:dyDescent="0.2">
      <c r="A280" s="113"/>
      <c r="B280" s="309"/>
      <c r="C280" s="128"/>
      <c r="D280" s="288"/>
      <c r="E280" s="288"/>
      <c r="F280" s="288"/>
      <c r="G280" s="288"/>
      <c r="H280" s="288"/>
      <c r="I280" s="288"/>
      <c r="J280" s="288"/>
      <c r="K280" s="288"/>
      <c r="L280" s="288"/>
      <c r="M280" s="288"/>
      <c r="N280" s="288"/>
      <c r="O280" s="278"/>
      <c r="P280" s="278"/>
      <c r="Q280" s="278"/>
      <c r="R280" s="278"/>
      <c r="S280" s="278"/>
      <c r="T280" s="278"/>
      <c r="U280" s="288"/>
      <c r="V280" s="288"/>
      <c r="W280" s="280"/>
      <c r="X280" s="292"/>
      <c r="Y280" s="282"/>
    </row>
    <row r="281" spans="1:25" x14ac:dyDescent="0.2">
      <c r="A281" s="113"/>
      <c r="B281" s="276"/>
      <c r="C281" s="128"/>
      <c r="D281" s="313"/>
      <c r="E281" s="288"/>
      <c r="F281" s="288"/>
      <c r="G281" s="278"/>
      <c r="H281" s="278"/>
      <c r="I281" s="278"/>
      <c r="J281" s="278"/>
      <c r="K281" s="278"/>
      <c r="L281" s="278"/>
      <c r="M281" s="288"/>
      <c r="N281" s="288"/>
      <c r="O281" s="278"/>
      <c r="P281" s="278"/>
      <c r="Q281" s="278"/>
      <c r="R281" s="278"/>
      <c r="S281" s="278"/>
      <c r="T281" s="278"/>
      <c r="U281" s="288"/>
      <c r="V281" s="288"/>
      <c r="W281" s="280"/>
      <c r="X281" s="292"/>
      <c r="Y281" s="282"/>
    </row>
    <row r="282" spans="1:25" x14ac:dyDescent="0.2">
      <c r="A282" s="113"/>
      <c r="B282" s="310"/>
      <c r="C282" s="128"/>
      <c r="D282" s="288"/>
      <c r="E282" s="288"/>
      <c r="F282" s="288"/>
      <c r="G282" s="288"/>
      <c r="H282" s="288"/>
      <c r="I282" s="288"/>
      <c r="J282" s="288"/>
      <c r="K282" s="288"/>
      <c r="L282" s="288"/>
      <c r="M282" s="288"/>
      <c r="N282" s="288"/>
      <c r="O282" s="278"/>
      <c r="P282" s="278"/>
      <c r="Q282" s="278"/>
      <c r="R282" s="278"/>
      <c r="S282" s="278"/>
      <c r="T282" s="278"/>
      <c r="U282" s="288"/>
      <c r="V282" s="288"/>
      <c r="W282" s="280"/>
      <c r="X282" s="292"/>
      <c r="Y282" s="282"/>
    </row>
    <row r="283" spans="1:25" x14ac:dyDescent="0.2">
      <c r="A283" s="113"/>
      <c r="B283" s="310"/>
      <c r="C283" s="128"/>
      <c r="D283" s="288"/>
      <c r="E283" s="288"/>
      <c r="F283" s="288"/>
      <c r="G283" s="288"/>
      <c r="H283" s="288"/>
      <c r="I283" s="288"/>
      <c r="J283" s="288"/>
      <c r="K283" s="288"/>
      <c r="L283" s="288"/>
      <c r="M283" s="28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128"/>
      <c r="Y283" s="128"/>
    </row>
    <row r="284" spans="1:25" x14ac:dyDescent="0.2">
      <c r="A284" s="113"/>
      <c r="B284" s="310"/>
      <c r="C284" s="128"/>
      <c r="D284" s="288"/>
      <c r="E284" s="288"/>
      <c r="F284" s="288"/>
      <c r="G284" s="288"/>
      <c r="H284" s="288"/>
      <c r="I284" s="288"/>
      <c r="J284" s="288"/>
      <c r="K284" s="288"/>
      <c r="L284" s="288"/>
      <c r="M284" s="28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128"/>
      <c r="Y284" s="128"/>
    </row>
    <row r="285" spans="1:25" x14ac:dyDescent="0.2">
      <c r="A285" s="113"/>
      <c r="B285" s="310"/>
      <c r="C285" s="128"/>
      <c r="D285" s="288"/>
      <c r="E285" s="288"/>
      <c r="F285" s="288"/>
      <c r="G285" s="288"/>
      <c r="H285" s="288"/>
      <c r="I285" s="288"/>
      <c r="J285" s="288"/>
      <c r="K285" s="288"/>
      <c r="L285" s="288"/>
      <c r="M285" s="28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128"/>
      <c r="Y285" s="128"/>
    </row>
    <row r="286" spans="1:25" x14ac:dyDescent="0.2">
      <c r="A286" s="113"/>
      <c r="B286" s="276"/>
      <c r="C286" s="128"/>
      <c r="D286" s="113"/>
      <c r="E286" s="113"/>
      <c r="F286" s="128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128"/>
      <c r="Y286" s="128"/>
    </row>
    <row r="287" spans="1:25" x14ac:dyDescent="0.2">
      <c r="A287" s="113"/>
      <c r="B287" s="310"/>
      <c r="C287" s="128"/>
      <c r="D287" s="288"/>
      <c r="E287" s="288"/>
      <c r="F287" s="288"/>
      <c r="G287" s="288"/>
      <c r="H287" s="288"/>
      <c r="I287" s="288"/>
      <c r="J287" s="288"/>
      <c r="K287" s="288"/>
      <c r="L287" s="288"/>
      <c r="M287" s="28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128"/>
      <c r="Y287" s="128"/>
    </row>
    <row r="288" spans="1:25" x14ac:dyDescent="0.2">
      <c r="A288" s="113"/>
      <c r="B288" s="310"/>
      <c r="C288" s="128"/>
      <c r="D288" s="288"/>
      <c r="E288" s="288"/>
      <c r="F288" s="288"/>
      <c r="G288" s="288"/>
      <c r="H288" s="288"/>
      <c r="I288" s="288"/>
      <c r="J288" s="288"/>
      <c r="K288" s="288"/>
      <c r="L288" s="288"/>
      <c r="M288" s="28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128"/>
      <c r="Y288" s="128"/>
    </row>
    <row r="289" spans="1:25" x14ac:dyDescent="0.2">
      <c r="A289" s="113"/>
      <c r="B289" s="310"/>
      <c r="C289" s="128"/>
      <c r="D289" s="288"/>
      <c r="E289" s="288"/>
      <c r="F289" s="288"/>
      <c r="G289" s="288"/>
      <c r="H289" s="288"/>
      <c r="I289" s="288"/>
      <c r="J289" s="288"/>
      <c r="K289" s="288"/>
      <c r="L289" s="288"/>
      <c r="M289" s="28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128"/>
      <c r="Y289" s="128"/>
    </row>
    <row r="290" spans="1:25" x14ac:dyDescent="0.2">
      <c r="A290" s="113"/>
      <c r="B290" s="310"/>
      <c r="C290" s="128"/>
      <c r="D290" s="288"/>
      <c r="E290" s="288"/>
      <c r="F290" s="288"/>
      <c r="G290" s="288"/>
      <c r="H290" s="288"/>
      <c r="I290" s="288"/>
      <c r="J290" s="288"/>
      <c r="K290" s="288"/>
      <c r="L290" s="288"/>
      <c r="M290" s="28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128"/>
      <c r="Y290" s="128"/>
    </row>
    <row r="291" spans="1:25" x14ac:dyDescent="0.2">
      <c r="A291" s="113"/>
      <c r="B291" s="276"/>
      <c r="C291" s="128"/>
      <c r="D291" s="113"/>
      <c r="E291" s="113"/>
      <c r="F291" s="128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128"/>
      <c r="Y291" s="128"/>
    </row>
    <row r="292" spans="1:25" x14ac:dyDescent="0.2">
      <c r="A292" s="113"/>
      <c r="B292" s="310"/>
      <c r="C292" s="128"/>
      <c r="D292" s="288"/>
      <c r="E292" s="288"/>
      <c r="F292" s="288"/>
      <c r="G292" s="288"/>
      <c r="H292" s="288"/>
      <c r="I292" s="288"/>
      <c r="J292" s="288"/>
      <c r="K292" s="288"/>
      <c r="L292" s="288"/>
      <c r="M292" s="28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128"/>
      <c r="Y292" s="128"/>
    </row>
    <row r="293" spans="1:25" x14ac:dyDescent="0.2">
      <c r="A293" s="113"/>
      <c r="B293" s="310"/>
      <c r="C293" s="128"/>
      <c r="D293" s="288"/>
      <c r="E293" s="288"/>
      <c r="F293" s="288"/>
      <c r="G293" s="288"/>
      <c r="H293" s="288"/>
      <c r="I293" s="288"/>
      <c r="J293" s="288"/>
      <c r="K293" s="288"/>
      <c r="L293" s="288"/>
      <c r="M293" s="28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128"/>
      <c r="Y293" s="128"/>
    </row>
    <row r="294" spans="1:25" x14ac:dyDescent="0.2">
      <c r="A294" s="113"/>
      <c r="B294" s="310"/>
      <c r="C294" s="128"/>
      <c r="D294" s="288"/>
      <c r="E294" s="288"/>
      <c r="F294" s="288"/>
      <c r="G294" s="288"/>
      <c r="H294" s="288"/>
      <c r="I294" s="288"/>
      <c r="J294" s="288"/>
      <c r="K294" s="288"/>
      <c r="L294" s="288"/>
      <c r="M294" s="28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128"/>
      <c r="Y294" s="128"/>
    </row>
    <row r="295" spans="1:25" x14ac:dyDescent="0.2">
      <c r="A295" s="113"/>
      <c r="B295" s="310"/>
      <c r="C295" s="128"/>
      <c r="D295" s="288"/>
      <c r="E295" s="288"/>
      <c r="F295" s="288"/>
      <c r="G295" s="288"/>
      <c r="H295" s="288"/>
      <c r="I295" s="288"/>
      <c r="J295" s="288"/>
      <c r="K295" s="288"/>
      <c r="L295" s="288"/>
      <c r="M295" s="28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128"/>
      <c r="Y295" s="128"/>
    </row>
    <row r="296" spans="1:25" x14ac:dyDescent="0.2">
      <c r="A296" s="113"/>
      <c r="B296" s="276"/>
      <c r="C296" s="128"/>
      <c r="D296" s="113"/>
      <c r="E296" s="113"/>
      <c r="F296" s="128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128"/>
      <c r="Y296" s="128"/>
    </row>
    <row r="297" spans="1:25" x14ac:dyDescent="0.2">
      <c r="A297" s="113"/>
      <c r="B297" s="310"/>
      <c r="C297" s="128"/>
      <c r="D297" s="288"/>
      <c r="E297" s="288"/>
      <c r="F297" s="288"/>
      <c r="G297" s="288"/>
      <c r="H297" s="288"/>
      <c r="I297" s="288"/>
      <c r="J297" s="288"/>
      <c r="K297" s="288"/>
      <c r="L297" s="288"/>
      <c r="M297" s="28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128"/>
      <c r="Y297" s="128"/>
    </row>
    <row r="298" spans="1:25" x14ac:dyDescent="0.2">
      <c r="A298" s="113"/>
      <c r="B298" s="310"/>
      <c r="C298" s="128"/>
      <c r="D298" s="288"/>
      <c r="E298" s="288"/>
      <c r="F298" s="288"/>
      <c r="G298" s="288"/>
      <c r="H298" s="288"/>
      <c r="I298" s="288"/>
      <c r="J298" s="288"/>
      <c r="K298" s="288"/>
      <c r="L298" s="288"/>
      <c r="M298" s="288"/>
      <c r="P298" s="128"/>
      <c r="Q298" s="128"/>
      <c r="R298" s="128"/>
      <c r="S298" s="128"/>
      <c r="T298" s="128"/>
      <c r="U298" s="128"/>
      <c r="V298" s="128"/>
      <c r="W298" s="128"/>
      <c r="X298" s="128"/>
      <c r="Y298" s="128"/>
    </row>
    <row r="299" spans="1:25" x14ac:dyDescent="0.2">
      <c r="A299" s="113"/>
      <c r="B299" s="310"/>
      <c r="C299" s="128"/>
      <c r="D299" s="288"/>
      <c r="E299" s="288"/>
      <c r="F299" s="288"/>
      <c r="G299" s="288"/>
      <c r="H299" s="288"/>
      <c r="I299" s="288"/>
      <c r="J299" s="288"/>
      <c r="K299" s="288"/>
      <c r="L299" s="288"/>
      <c r="M299" s="288"/>
      <c r="P299" s="128"/>
      <c r="Q299" s="128"/>
      <c r="R299" s="128"/>
      <c r="S299" s="128"/>
      <c r="T299" s="128"/>
      <c r="U299" s="128"/>
      <c r="V299" s="128"/>
      <c r="W299" s="128"/>
      <c r="X299" s="128"/>
      <c r="Y299" s="128"/>
    </row>
    <row r="300" spans="1:25" x14ac:dyDescent="0.2">
      <c r="A300" s="113"/>
      <c r="B300" s="310"/>
      <c r="C300" s="128"/>
      <c r="D300" s="288"/>
      <c r="E300" s="288"/>
      <c r="F300" s="288"/>
      <c r="G300" s="288"/>
      <c r="H300" s="288"/>
      <c r="I300" s="288"/>
      <c r="J300" s="288"/>
      <c r="K300" s="288"/>
      <c r="L300" s="288"/>
      <c r="M300" s="288"/>
      <c r="P300" s="128"/>
      <c r="Q300" s="128"/>
      <c r="R300" s="128"/>
      <c r="S300" s="128"/>
      <c r="T300" s="128"/>
      <c r="U300" s="128"/>
      <c r="V300" s="128"/>
      <c r="W300" s="128"/>
      <c r="X300" s="128"/>
      <c r="Y300" s="128"/>
    </row>
    <row r="301" spans="1:25" x14ac:dyDescent="0.2">
      <c r="A301" s="113"/>
      <c r="B301" s="276"/>
      <c r="P301" s="128"/>
      <c r="Q301" s="128"/>
      <c r="R301" s="128"/>
      <c r="S301" s="128"/>
      <c r="T301" s="128"/>
      <c r="U301" s="128"/>
      <c r="V301" s="128"/>
      <c r="W301" s="128"/>
      <c r="X301" s="128"/>
      <c r="Y301" s="128"/>
    </row>
    <row r="302" spans="1:25" x14ac:dyDescent="0.2">
      <c r="A302" s="113"/>
      <c r="B302" s="276"/>
      <c r="C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128"/>
      <c r="Y302" s="128"/>
    </row>
    <row r="303" spans="1:25" x14ac:dyDescent="0.2">
      <c r="A303" s="113"/>
      <c r="B303" s="276"/>
      <c r="C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128"/>
      <c r="Y303" s="128"/>
    </row>
    <row r="304" spans="1:25" x14ac:dyDescent="0.2">
      <c r="A304" s="113"/>
      <c r="B304" s="276"/>
      <c r="C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128"/>
      <c r="Y304" s="128"/>
    </row>
    <row r="305" spans="1:25" x14ac:dyDescent="0.2">
      <c r="A305" s="113"/>
      <c r="B305" s="276"/>
      <c r="C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128"/>
      <c r="Y305" s="128"/>
    </row>
    <row r="306" spans="1:25" x14ac:dyDescent="0.2">
      <c r="A306" s="113"/>
      <c r="B306" s="113"/>
      <c r="C306" s="128"/>
      <c r="O306" s="128"/>
      <c r="P306" s="126"/>
      <c r="Q306" s="126"/>
      <c r="R306" s="126"/>
      <c r="S306" s="126"/>
      <c r="T306" s="126"/>
      <c r="U306" s="126"/>
      <c r="V306" s="126"/>
      <c r="W306" s="126"/>
      <c r="X306" s="126"/>
      <c r="Y306" s="126"/>
    </row>
    <row r="307" spans="1:25" x14ac:dyDescent="0.2">
      <c r="A307" s="113"/>
      <c r="B307" s="113"/>
      <c r="C307" s="128"/>
      <c r="O307" s="128"/>
      <c r="P307" s="126"/>
      <c r="Q307" s="126"/>
      <c r="R307" s="126"/>
      <c r="S307" s="126"/>
      <c r="T307" s="126"/>
      <c r="U307" s="126"/>
      <c r="V307" s="126"/>
      <c r="W307" s="126"/>
      <c r="X307" s="126"/>
      <c r="Y307" s="126"/>
    </row>
    <row r="308" spans="1:25" x14ac:dyDescent="0.2">
      <c r="A308" s="113"/>
      <c r="B308" s="113"/>
      <c r="O308" s="128"/>
      <c r="P308" s="126"/>
      <c r="Q308" s="126"/>
      <c r="R308" s="126"/>
      <c r="S308" s="126"/>
      <c r="T308" s="126"/>
      <c r="U308" s="126"/>
      <c r="V308" s="126"/>
      <c r="W308" s="126"/>
      <c r="X308" s="126"/>
      <c r="Y308" s="126"/>
    </row>
    <row r="309" spans="1:25" x14ac:dyDescent="0.2">
      <c r="A309" s="113"/>
      <c r="B309" s="113"/>
      <c r="C309" s="128"/>
      <c r="P309" s="126"/>
      <c r="Q309" s="126"/>
      <c r="R309" s="126"/>
      <c r="S309" s="126"/>
      <c r="T309" s="126"/>
      <c r="U309" s="126"/>
      <c r="V309" s="126"/>
      <c r="W309" s="126"/>
      <c r="X309" s="126"/>
      <c r="Y309" s="126"/>
    </row>
    <row r="310" spans="1:25" x14ac:dyDescent="0.2">
      <c r="A310" s="113"/>
      <c r="B310" s="113"/>
      <c r="C310" s="113"/>
      <c r="D310" s="113"/>
      <c r="E310" s="113"/>
      <c r="F310" s="113"/>
      <c r="G310" s="113"/>
      <c r="H310" s="113"/>
      <c r="I310" s="113"/>
      <c r="J310" s="113"/>
      <c r="K310" s="113"/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</row>
    <row r="311" spans="1:25" x14ac:dyDescent="0.2">
      <c r="A311" s="113"/>
      <c r="B311" s="113"/>
      <c r="C311" s="113"/>
      <c r="D311" s="113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</row>
    <row r="312" spans="1:25" x14ac:dyDescent="0.2">
      <c r="A312" s="113"/>
      <c r="B312" s="113"/>
      <c r="C312" s="113"/>
      <c r="D312" s="113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</row>
    <row r="313" spans="1:25" x14ac:dyDescent="0.2">
      <c r="A313" s="113"/>
      <c r="B313" s="113"/>
      <c r="C313" s="113"/>
      <c r="D313" s="113"/>
      <c r="E313" s="113"/>
      <c r="F313" s="113"/>
      <c r="G313" s="113"/>
      <c r="H313" s="113"/>
      <c r="I313" s="113"/>
      <c r="J313" s="113"/>
      <c r="K313" s="113"/>
      <c r="L313" s="113"/>
      <c r="M313" s="116"/>
      <c r="N313" s="116"/>
      <c r="O313" s="113"/>
      <c r="P313" s="116"/>
      <c r="Q313" s="116"/>
      <c r="R313" s="116"/>
      <c r="S313" s="116"/>
      <c r="T313" s="116"/>
      <c r="U313" s="116"/>
      <c r="V313" s="116"/>
      <c r="W313" s="113"/>
      <c r="X313" s="113"/>
      <c r="Y313" s="116"/>
    </row>
    <row r="314" spans="1:25" x14ac:dyDescent="0.2">
      <c r="A314" s="113"/>
      <c r="B314" s="113"/>
      <c r="C314" s="113"/>
      <c r="D314" s="113"/>
      <c r="E314" s="113"/>
      <c r="F314" s="113"/>
      <c r="G314" s="113"/>
      <c r="H314" s="113"/>
      <c r="I314" s="113"/>
      <c r="J314" s="113"/>
      <c r="K314" s="113"/>
      <c r="L314" s="113"/>
      <c r="M314" s="117"/>
      <c r="N314" s="116"/>
      <c r="O314" s="113"/>
      <c r="P314" s="113"/>
      <c r="Q314" s="113"/>
      <c r="R314" s="113"/>
      <c r="S314" s="113"/>
      <c r="T314" s="113"/>
      <c r="U314" s="117"/>
      <c r="V314" s="117"/>
      <c r="W314" s="116"/>
      <c r="X314" s="113"/>
      <c r="Y314" s="117"/>
    </row>
    <row r="315" spans="1:25" x14ac:dyDescent="0.2">
      <c r="A315" s="113"/>
      <c r="B315" s="113"/>
      <c r="C315" s="113"/>
      <c r="D315" s="113"/>
      <c r="E315" s="113"/>
      <c r="F315" s="113"/>
      <c r="G315" s="113"/>
      <c r="H315" s="113"/>
      <c r="I315" s="113"/>
      <c r="J315" s="113"/>
      <c r="K315" s="113"/>
      <c r="L315" s="113"/>
      <c r="M315" s="117"/>
      <c r="N315" s="116"/>
      <c r="O315" s="117"/>
      <c r="P315" s="113"/>
      <c r="Q315" s="113"/>
      <c r="R315" s="113"/>
      <c r="S315" s="113"/>
      <c r="T315" s="113"/>
      <c r="U315" s="113"/>
      <c r="V315" s="116"/>
      <c r="W315" s="116"/>
      <c r="X315" s="113"/>
      <c r="Y315" s="117"/>
    </row>
    <row r="316" spans="1:25" x14ac:dyDescent="0.2">
      <c r="A316" s="113"/>
      <c r="B316" s="113"/>
      <c r="C316" s="113"/>
      <c r="D316" s="113"/>
      <c r="E316" s="113"/>
      <c r="F316" s="113"/>
      <c r="G316" s="113"/>
      <c r="H316" s="113"/>
      <c r="I316" s="113"/>
      <c r="J316" s="113"/>
      <c r="K316" s="113"/>
      <c r="L316" s="113"/>
      <c r="M316" s="117"/>
      <c r="N316" s="116"/>
      <c r="O316" s="117"/>
      <c r="P316" s="113"/>
      <c r="Q316" s="113"/>
      <c r="R316" s="113"/>
      <c r="S316" s="113"/>
      <c r="T316" s="113"/>
      <c r="U316" s="113"/>
      <c r="V316" s="117"/>
      <c r="W316" s="116"/>
      <c r="X316" s="113"/>
      <c r="Y316" s="117"/>
    </row>
    <row r="317" spans="1:25" x14ac:dyDescent="0.2">
      <c r="A317" s="113"/>
      <c r="B317" s="113"/>
      <c r="C317" s="113"/>
      <c r="D317" s="113"/>
      <c r="E317" s="113"/>
      <c r="F317" s="113"/>
      <c r="G317" s="113"/>
      <c r="H317" s="113"/>
      <c r="I317" s="113"/>
      <c r="J317" s="113"/>
      <c r="K317" s="113"/>
      <c r="L317" s="113"/>
      <c r="M317" s="120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</row>
    <row r="318" spans="1:25" x14ac:dyDescent="0.2">
      <c r="A318" s="113"/>
      <c r="B318" s="113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spans="1:25" x14ac:dyDescent="0.2">
      <c r="A319" s="113"/>
      <c r="B319" s="113"/>
      <c r="C319" s="120"/>
      <c r="D319" s="120"/>
      <c r="E319" s="120"/>
      <c r="F319" s="120"/>
      <c r="G319" s="120"/>
      <c r="H319" s="120"/>
      <c r="I319" s="120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16"/>
      <c r="Y319" s="120"/>
    </row>
    <row r="320" spans="1:25" x14ac:dyDescent="0.2">
      <c r="A320" s="113"/>
      <c r="B320" s="120"/>
      <c r="C320" s="120"/>
      <c r="D320" s="120"/>
      <c r="E320" s="120"/>
      <c r="F320" s="120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spans="1:25" x14ac:dyDescent="0.2">
      <c r="A321" s="113"/>
      <c r="B321" s="120"/>
      <c r="C321" s="120"/>
      <c r="D321" s="120"/>
      <c r="E321" s="120"/>
      <c r="F321" s="120"/>
      <c r="G321" s="119"/>
      <c r="H321" s="303"/>
      <c r="I321" s="303"/>
      <c r="J321" s="303"/>
      <c r="K321" s="303"/>
      <c r="L321" s="303"/>
      <c r="M321" s="119"/>
      <c r="N321" s="120"/>
      <c r="O321" s="120"/>
      <c r="P321" s="119"/>
      <c r="Q321" s="119"/>
      <c r="R321" s="303"/>
      <c r="S321" s="303"/>
      <c r="T321" s="303"/>
      <c r="U321" s="119"/>
      <c r="V321" s="119"/>
      <c r="W321" s="119"/>
      <c r="X321" s="120"/>
      <c r="Y321" s="120"/>
    </row>
    <row r="322" spans="1:25" x14ac:dyDescent="0.2">
      <c r="A322" s="113"/>
      <c r="B322" s="304"/>
      <c r="C322" s="305"/>
      <c r="D322" s="305"/>
      <c r="E322" s="305"/>
      <c r="F322" s="305"/>
      <c r="G322" s="119"/>
      <c r="H322" s="305"/>
      <c r="I322" s="305"/>
      <c r="J322" s="305"/>
      <c r="K322" s="305"/>
      <c r="L322" s="305"/>
      <c r="M322" s="305"/>
      <c r="N322" s="119"/>
      <c r="O322" s="119"/>
      <c r="P322" s="119"/>
      <c r="Q322" s="119"/>
      <c r="R322" s="305"/>
      <c r="S322" s="305"/>
      <c r="T322" s="305"/>
      <c r="U322" s="305"/>
      <c r="V322" s="305"/>
      <c r="W322" s="305"/>
      <c r="X322" s="120"/>
      <c r="Y322" s="120"/>
    </row>
    <row r="323" spans="1:25" x14ac:dyDescent="0.2">
      <c r="A323" s="113"/>
      <c r="B323" s="306"/>
      <c r="C323" s="128"/>
      <c r="D323" s="288"/>
      <c r="E323" s="288"/>
      <c r="F323" s="288"/>
      <c r="G323" s="288"/>
      <c r="H323" s="288"/>
      <c r="I323" s="288"/>
      <c r="J323" s="288"/>
      <c r="K323" s="288"/>
      <c r="L323" s="288"/>
      <c r="M323" s="288"/>
      <c r="N323" s="278"/>
      <c r="O323" s="278"/>
      <c r="P323" s="288"/>
      <c r="Q323" s="288"/>
      <c r="R323" s="288"/>
      <c r="S323" s="288"/>
      <c r="T323" s="288"/>
      <c r="U323" s="288"/>
      <c r="V323" s="278"/>
      <c r="W323" s="280"/>
      <c r="X323" s="282"/>
      <c r="Y323" s="282"/>
    </row>
    <row r="324" spans="1:25" x14ac:dyDescent="0.2">
      <c r="A324" s="113"/>
      <c r="B324" s="306"/>
      <c r="C324" s="128"/>
      <c r="D324" s="288"/>
      <c r="E324" s="288"/>
      <c r="F324" s="288"/>
      <c r="G324" s="288"/>
      <c r="H324" s="288"/>
      <c r="I324" s="288"/>
      <c r="J324" s="288"/>
      <c r="K324" s="288"/>
      <c r="L324" s="288"/>
      <c r="M324" s="288"/>
      <c r="N324" s="313"/>
      <c r="O324" s="278"/>
      <c r="P324" s="278"/>
      <c r="Q324" s="278"/>
      <c r="R324" s="278"/>
      <c r="S324" s="278"/>
      <c r="T324" s="278"/>
      <c r="U324" s="288"/>
      <c r="V324" s="288"/>
      <c r="W324" s="280"/>
      <c r="X324" s="292"/>
      <c r="Y324" s="282"/>
    </row>
    <row r="325" spans="1:25" x14ac:dyDescent="0.2">
      <c r="A325" s="113"/>
      <c r="B325" s="306"/>
      <c r="C325" s="128"/>
      <c r="D325" s="288"/>
      <c r="E325" s="288"/>
      <c r="F325" s="288"/>
      <c r="G325" s="288"/>
      <c r="H325" s="288"/>
      <c r="I325" s="288"/>
      <c r="J325" s="288"/>
      <c r="K325" s="288"/>
      <c r="L325" s="288"/>
      <c r="M325" s="288"/>
      <c r="N325" s="313"/>
      <c r="O325" s="278"/>
      <c r="P325" s="278"/>
      <c r="Q325" s="278"/>
      <c r="R325" s="278"/>
      <c r="S325" s="278"/>
      <c r="T325" s="278"/>
      <c r="U325" s="288"/>
      <c r="V325" s="288"/>
      <c r="W325" s="280"/>
      <c r="X325" s="292"/>
      <c r="Y325" s="282"/>
    </row>
    <row r="326" spans="1:25" x14ac:dyDescent="0.2">
      <c r="A326" s="113"/>
      <c r="B326" s="306"/>
      <c r="C326" s="128"/>
      <c r="D326" s="288"/>
      <c r="E326" s="288"/>
      <c r="F326" s="288"/>
      <c r="G326" s="288"/>
      <c r="H326" s="288"/>
      <c r="I326" s="288"/>
      <c r="J326" s="288"/>
      <c r="K326" s="288"/>
      <c r="L326" s="288"/>
      <c r="M326" s="288"/>
      <c r="N326" s="313"/>
      <c r="O326" s="278"/>
      <c r="P326" s="278"/>
      <c r="Q326" s="278"/>
      <c r="R326" s="278"/>
      <c r="S326" s="278"/>
      <c r="T326" s="278"/>
      <c r="U326" s="288"/>
      <c r="V326" s="288"/>
      <c r="W326" s="280"/>
      <c r="X326" s="292"/>
      <c r="Y326" s="282"/>
    </row>
    <row r="327" spans="1:25" x14ac:dyDescent="0.2">
      <c r="A327" s="113"/>
      <c r="B327" s="276"/>
      <c r="C327" s="128"/>
      <c r="D327" s="313"/>
      <c r="E327" s="288"/>
      <c r="F327" s="288"/>
      <c r="G327" s="278"/>
      <c r="H327" s="278"/>
      <c r="I327" s="278"/>
      <c r="J327" s="278"/>
      <c r="K327" s="278"/>
      <c r="L327" s="278"/>
      <c r="M327" s="288"/>
      <c r="N327" s="313"/>
      <c r="O327" s="278"/>
      <c r="P327" s="278"/>
      <c r="Q327" s="278"/>
      <c r="R327" s="278"/>
      <c r="S327" s="278"/>
      <c r="T327" s="278"/>
      <c r="U327" s="288"/>
      <c r="V327" s="288"/>
      <c r="W327" s="280"/>
      <c r="X327" s="292"/>
      <c r="Y327" s="282"/>
    </row>
    <row r="328" spans="1:25" x14ac:dyDescent="0.2">
      <c r="A328" s="113"/>
      <c r="B328" s="309"/>
      <c r="C328" s="128"/>
      <c r="D328" s="288"/>
      <c r="E328" s="288"/>
      <c r="F328" s="288"/>
      <c r="G328" s="288"/>
      <c r="H328" s="288"/>
      <c r="I328" s="288"/>
      <c r="J328" s="288"/>
      <c r="K328" s="288"/>
      <c r="L328" s="288"/>
      <c r="M328" s="288"/>
      <c r="N328" s="313"/>
      <c r="O328" s="278"/>
      <c r="P328" s="278"/>
      <c r="Q328" s="278"/>
      <c r="R328" s="278"/>
      <c r="S328" s="278"/>
      <c r="T328" s="278"/>
      <c r="U328" s="288"/>
      <c r="V328" s="288"/>
      <c r="W328" s="280"/>
      <c r="X328" s="292"/>
      <c r="Y328" s="282"/>
    </row>
    <row r="329" spans="1:25" x14ac:dyDescent="0.2">
      <c r="A329" s="113"/>
      <c r="B329" s="309"/>
      <c r="C329" s="128"/>
      <c r="D329" s="288"/>
      <c r="E329" s="288"/>
      <c r="F329" s="288"/>
      <c r="G329" s="288"/>
      <c r="H329" s="288"/>
      <c r="I329" s="288"/>
      <c r="J329" s="288"/>
      <c r="K329" s="288"/>
      <c r="L329" s="288"/>
      <c r="M329" s="288"/>
      <c r="N329" s="288"/>
      <c r="O329" s="278"/>
      <c r="P329" s="278"/>
      <c r="Q329" s="278"/>
      <c r="R329" s="278"/>
      <c r="S329" s="278"/>
      <c r="T329" s="278"/>
      <c r="U329" s="288"/>
      <c r="V329" s="288"/>
      <c r="W329" s="280"/>
      <c r="X329" s="292"/>
      <c r="Y329" s="282"/>
    </row>
    <row r="330" spans="1:25" x14ac:dyDescent="0.2">
      <c r="A330" s="113"/>
      <c r="B330" s="309"/>
      <c r="C330" s="128"/>
      <c r="D330" s="288"/>
      <c r="E330" s="288"/>
      <c r="F330" s="288"/>
      <c r="G330" s="288"/>
      <c r="H330" s="288"/>
      <c r="I330" s="288"/>
      <c r="J330" s="288"/>
      <c r="K330" s="288"/>
      <c r="L330" s="288"/>
      <c r="M330" s="288"/>
      <c r="N330" s="288"/>
      <c r="O330" s="278"/>
      <c r="P330" s="278"/>
      <c r="Q330" s="278"/>
      <c r="R330" s="278"/>
      <c r="S330" s="278"/>
      <c r="T330" s="278"/>
      <c r="U330" s="288"/>
      <c r="V330" s="288"/>
      <c r="W330" s="280"/>
      <c r="X330" s="292"/>
      <c r="Y330" s="282"/>
    </row>
    <row r="331" spans="1:25" x14ac:dyDescent="0.2">
      <c r="A331" s="113"/>
      <c r="B331" s="309"/>
      <c r="C331" s="128"/>
      <c r="D331" s="288"/>
      <c r="E331" s="288"/>
      <c r="F331" s="288"/>
      <c r="G331" s="288"/>
      <c r="H331" s="288"/>
      <c r="I331" s="288"/>
      <c r="J331" s="288"/>
      <c r="K331" s="288"/>
      <c r="L331" s="288"/>
      <c r="M331" s="288"/>
      <c r="N331" s="288"/>
      <c r="O331" s="278"/>
      <c r="P331" s="278"/>
      <c r="Q331" s="278"/>
      <c r="R331" s="278"/>
      <c r="S331" s="278"/>
      <c r="T331" s="278"/>
      <c r="U331" s="288"/>
      <c r="V331" s="288"/>
      <c r="W331" s="280"/>
      <c r="X331" s="292"/>
      <c r="Y331" s="282"/>
    </row>
    <row r="332" spans="1:25" x14ac:dyDescent="0.2">
      <c r="A332" s="113"/>
      <c r="B332" s="276"/>
      <c r="C332" s="128"/>
      <c r="D332" s="313"/>
      <c r="E332" s="288"/>
      <c r="F332" s="288"/>
      <c r="G332" s="278"/>
      <c r="H332" s="278"/>
      <c r="I332" s="278"/>
      <c r="J332" s="278"/>
      <c r="K332" s="278"/>
      <c r="L332" s="278"/>
      <c r="M332" s="288"/>
      <c r="N332" s="288"/>
      <c r="O332" s="278"/>
      <c r="P332" s="278"/>
      <c r="Q332" s="278"/>
      <c r="R332" s="278"/>
      <c r="S332" s="278"/>
      <c r="T332" s="278"/>
      <c r="U332" s="288"/>
      <c r="V332" s="288"/>
      <c r="W332" s="280"/>
      <c r="X332" s="292"/>
      <c r="Y332" s="282"/>
    </row>
    <row r="333" spans="1:25" x14ac:dyDescent="0.2">
      <c r="A333" s="113"/>
      <c r="B333" s="310"/>
      <c r="C333" s="128"/>
      <c r="D333" s="288"/>
      <c r="E333" s="288"/>
      <c r="F333" s="288"/>
      <c r="G333" s="288"/>
      <c r="H333" s="288"/>
      <c r="I333" s="288"/>
      <c r="J333" s="288"/>
      <c r="K333" s="288"/>
      <c r="L333" s="288"/>
      <c r="M333" s="288"/>
      <c r="N333" s="288"/>
      <c r="O333" s="278"/>
      <c r="P333" s="278"/>
      <c r="Q333" s="278"/>
      <c r="R333" s="278"/>
      <c r="S333" s="278"/>
      <c r="T333" s="278"/>
      <c r="U333" s="288"/>
      <c r="V333" s="288"/>
      <c r="W333" s="280"/>
      <c r="X333" s="292"/>
      <c r="Y333" s="282"/>
    </row>
    <row r="334" spans="1:25" x14ac:dyDescent="0.2">
      <c r="A334" s="113"/>
      <c r="B334" s="310"/>
      <c r="C334" s="128"/>
      <c r="D334" s="288"/>
      <c r="E334" s="288"/>
      <c r="F334" s="288"/>
      <c r="G334" s="288"/>
      <c r="H334" s="288"/>
      <c r="I334" s="288"/>
      <c r="J334" s="288"/>
      <c r="K334" s="288"/>
      <c r="L334" s="288"/>
      <c r="M334" s="28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128"/>
      <c r="Y334" s="128"/>
    </row>
    <row r="335" spans="1:25" x14ac:dyDescent="0.2">
      <c r="A335" s="113"/>
      <c r="B335" s="310"/>
      <c r="C335" s="128"/>
      <c r="D335" s="288"/>
      <c r="E335" s="288"/>
      <c r="F335" s="288"/>
      <c r="G335" s="288"/>
      <c r="H335" s="288"/>
      <c r="I335" s="288"/>
      <c r="J335" s="288"/>
      <c r="K335" s="288"/>
      <c r="L335" s="288"/>
      <c r="M335" s="28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128"/>
      <c r="Y335" s="128"/>
    </row>
    <row r="336" spans="1:25" x14ac:dyDescent="0.2">
      <c r="A336" s="113"/>
      <c r="B336" s="310"/>
      <c r="C336" s="128"/>
      <c r="D336" s="288"/>
      <c r="E336" s="288"/>
      <c r="F336" s="288"/>
      <c r="G336" s="288"/>
      <c r="H336" s="288"/>
      <c r="I336" s="288"/>
      <c r="J336" s="288"/>
      <c r="K336" s="288"/>
      <c r="L336" s="288"/>
      <c r="M336" s="28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128"/>
      <c r="Y336" s="128"/>
    </row>
    <row r="337" spans="1:25" x14ac:dyDescent="0.2">
      <c r="A337" s="113"/>
      <c r="B337" s="276"/>
      <c r="C337" s="128"/>
      <c r="D337" s="113"/>
      <c r="E337" s="113"/>
      <c r="F337" s="128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128"/>
      <c r="Y337" s="128"/>
    </row>
    <row r="338" spans="1:25" x14ac:dyDescent="0.2">
      <c r="A338" s="113"/>
      <c r="B338" s="310"/>
      <c r="C338" s="128"/>
      <c r="D338" s="288"/>
      <c r="E338" s="288"/>
      <c r="F338" s="288"/>
      <c r="G338" s="288"/>
      <c r="H338" s="288"/>
      <c r="I338" s="288"/>
      <c r="J338" s="288"/>
      <c r="K338" s="288"/>
      <c r="L338" s="288"/>
      <c r="M338" s="28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128"/>
      <c r="Y338" s="128"/>
    </row>
    <row r="339" spans="1:25" x14ac:dyDescent="0.2">
      <c r="A339" s="113"/>
      <c r="B339" s="310"/>
      <c r="C339" s="128"/>
      <c r="D339" s="288"/>
      <c r="E339" s="288"/>
      <c r="F339" s="288"/>
      <c r="G339" s="288"/>
      <c r="H339" s="288"/>
      <c r="I339" s="288"/>
      <c r="J339" s="288"/>
      <c r="K339" s="288"/>
      <c r="L339" s="288"/>
      <c r="M339" s="28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128"/>
      <c r="Y339" s="128"/>
    </row>
    <row r="340" spans="1:25" x14ac:dyDescent="0.2">
      <c r="A340" s="113"/>
      <c r="B340" s="310"/>
      <c r="C340" s="128"/>
      <c r="D340" s="288"/>
      <c r="E340" s="288"/>
      <c r="F340" s="288"/>
      <c r="G340" s="288"/>
      <c r="H340" s="288"/>
      <c r="I340" s="288"/>
      <c r="J340" s="288"/>
      <c r="K340" s="288"/>
      <c r="L340" s="288"/>
      <c r="M340" s="28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128"/>
      <c r="Y340" s="128"/>
    </row>
    <row r="341" spans="1:25" x14ac:dyDescent="0.2">
      <c r="A341" s="113"/>
      <c r="B341" s="310"/>
      <c r="C341" s="128"/>
      <c r="D341" s="288"/>
      <c r="E341" s="288"/>
      <c r="F341" s="288"/>
      <c r="G341" s="288"/>
      <c r="H341" s="288"/>
      <c r="I341" s="288"/>
      <c r="J341" s="288"/>
      <c r="K341" s="288"/>
      <c r="L341" s="288"/>
      <c r="M341" s="28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128"/>
      <c r="Y341" s="128"/>
    </row>
    <row r="342" spans="1:25" x14ac:dyDescent="0.2">
      <c r="A342" s="113"/>
      <c r="B342" s="276"/>
      <c r="C342" s="128"/>
      <c r="D342" s="113"/>
      <c r="E342" s="113"/>
      <c r="F342" s="128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128"/>
      <c r="Y342" s="128"/>
    </row>
    <row r="343" spans="1:25" x14ac:dyDescent="0.2">
      <c r="A343" s="113"/>
      <c r="B343" s="310"/>
      <c r="C343" s="128"/>
      <c r="D343" s="288"/>
      <c r="E343" s="288"/>
      <c r="F343" s="288"/>
      <c r="G343" s="288"/>
      <c r="H343" s="288"/>
      <c r="I343" s="288"/>
      <c r="J343" s="288"/>
      <c r="K343" s="288"/>
      <c r="L343" s="288"/>
      <c r="M343" s="28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128"/>
      <c r="Y343" s="128"/>
    </row>
    <row r="344" spans="1:25" x14ac:dyDescent="0.2">
      <c r="A344" s="113"/>
      <c r="B344" s="310"/>
      <c r="C344" s="128"/>
      <c r="D344" s="288"/>
      <c r="E344" s="288"/>
      <c r="F344" s="288"/>
      <c r="G344" s="288"/>
      <c r="H344" s="288"/>
      <c r="I344" s="288"/>
      <c r="J344" s="288"/>
      <c r="K344" s="288"/>
      <c r="L344" s="288"/>
      <c r="M344" s="28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128"/>
      <c r="Y344" s="128"/>
    </row>
    <row r="345" spans="1:25" x14ac:dyDescent="0.2">
      <c r="A345" s="113"/>
      <c r="B345" s="310"/>
      <c r="C345" s="128"/>
      <c r="D345" s="288"/>
      <c r="E345" s="288"/>
      <c r="F345" s="288"/>
      <c r="G345" s="288"/>
      <c r="H345" s="288"/>
      <c r="I345" s="288"/>
      <c r="J345" s="288"/>
      <c r="K345" s="288"/>
      <c r="L345" s="288"/>
      <c r="M345" s="28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128"/>
      <c r="Y345" s="128"/>
    </row>
    <row r="346" spans="1:25" x14ac:dyDescent="0.2">
      <c r="A346" s="113"/>
      <c r="B346" s="310"/>
      <c r="C346" s="128"/>
      <c r="D346" s="288"/>
      <c r="E346" s="288"/>
      <c r="F346" s="288"/>
      <c r="G346" s="288"/>
      <c r="H346" s="288"/>
      <c r="I346" s="288"/>
      <c r="J346" s="288"/>
      <c r="K346" s="288"/>
      <c r="L346" s="288"/>
      <c r="M346" s="28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128"/>
      <c r="Y346" s="128"/>
    </row>
    <row r="347" spans="1:25" x14ac:dyDescent="0.2">
      <c r="A347" s="113"/>
      <c r="B347" s="276"/>
      <c r="C347" s="128"/>
      <c r="D347" s="113"/>
      <c r="E347" s="113"/>
      <c r="F347" s="128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128"/>
      <c r="Y347" s="128"/>
    </row>
    <row r="348" spans="1:25" x14ac:dyDescent="0.2">
      <c r="A348" s="113"/>
      <c r="B348" s="310"/>
      <c r="C348" s="128"/>
      <c r="D348" s="288"/>
      <c r="E348" s="288"/>
      <c r="F348" s="288"/>
      <c r="G348" s="288"/>
      <c r="H348" s="288"/>
      <c r="I348" s="288"/>
      <c r="J348" s="288"/>
      <c r="K348" s="288"/>
      <c r="L348" s="288"/>
      <c r="M348" s="28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128"/>
      <c r="Y348" s="128"/>
    </row>
    <row r="349" spans="1:25" x14ac:dyDescent="0.2">
      <c r="A349" s="113"/>
      <c r="B349" s="310"/>
      <c r="C349" s="128"/>
      <c r="D349" s="288"/>
      <c r="E349" s="288"/>
      <c r="F349" s="288"/>
      <c r="G349" s="288"/>
      <c r="H349" s="288"/>
      <c r="I349" s="288"/>
      <c r="J349" s="288"/>
      <c r="K349" s="288"/>
      <c r="L349" s="288"/>
      <c r="M349" s="288"/>
      <c r="P349" s="128"/>
      <c r="Q349" s="128"/>
      <c r="R349" s="128"/>
      <c r="S349" s="128"/>
      <c r="T349" s="128"/>
      <c r="U349" s="128"/>
      <c r="V349" s="128"/>
      <c r="W349" s="128"/>
      <c r="X349" s="128"/>
      <c r="Y349" s="128"/>
    </row>
    <row r="350" spans="1:25" x14ac:dyDescent="0.2">
      <c r="A350" s="113"/>
      <c r="B350" s="310"/>
      <c r="C350" s="128"/>
      <c r="D350" s="288"/>
      <c r="E350" s="288"/>
      <c r="F350" s="288"/>
      <c r="G350" s="288"/>
      <c r="H350" s="288"/>
      <c r="I350" s="288"/>
      <c r="J350" s="288"/>
      <c r="K350" s="288"/>
      <c r="L350" s="288"/>
      <c r="M350" s="288"/>
      <c r="P350" s="128"/>
      <c r="Q350" s="128"/>
      <c r="R350" s="128"/>
      <c r="S350" s="128"/>
      <c r="T350" s="128"/>
      <c r="U350" s="128"/>
      <c r="V350" s="128"/>
      <c r="W350" s="128"/>
      <c r="X350" s="128"/>
      <c r="Y350" s="128"/>
    </row>
    <row r="351" spans="1:25" x14ac:dyDescent="0.2">
      <c r="A351" s="113"/>
      <c r="B351" s="310"/>
      <c r="C351" s="128"/>
      <c r="D351" s="288"/>
      <c r="E351" s="288"/>
      <c r="F351" s="288"/>
      <c r="G351" s="288"/>
      <c r="H351" s="288"/>
      <c r="I351" s="288"/>
      <c r="J351" s="288"/>
      <c r="K351" s="288"/>
      <c r="L351" s="288"/>
      <c r="M351" s="288"/>
      <c r="P351" s="128"/>
      <c r="Q351" s="128"/>
      <c r="R351" s="128"/>
      <c r="S351" s="128"/>
      <c r="T351" s="128"/>
      <c r="U351" s="128"/>
      <c r="V351" s="128"/>
      <c r="W351" s="128"/>
      <c r="X351" s="128"/>
      <c r="Y351" s="128"/>
    </row>
    <row r="352" spans="1:25" x14ac:dyDescent="0.2">
      <c r="A352" s="113"/>
      <c r="B352" s="276"/>
      <c r="P352" s="128"/>
      <c r="Q352" s="128"/>
      <c r="R352" s="128"/>
      <c r="S352" s="128"/>
      <c r="T352" s="128"/>
      <c r="U352" s="128"/>
      <c r="V352" s="128"/>
      <c r="W352" s="128"/>
      <c r="X352" s="128"/>
      <c r="Y352" s="128"/>
    </row>
    <row r="353" spans="1:25" x14ac:dyDescent="0.2">
      <c r="A353" s="113"/>
      <c r="B353" s="276"/>
      <c r="C353" s="128"/>
      <c r="N353" s="128"/>
      <c r="O353" s="128"/>
      <c r="Q353" s="128"/>
      <c r="R353" s="128"/>
      <c r="S353" s="128"/>
      <c r="T353" s="128"/>
      <c r="U353" s="128"/>
      <c r="V353" s="128"/>
      <c r="W353" s="128"/>
      <c r="X353" s="128"/>
      <c r="Y353" s="128"/>
    </row>
    <row r="354" spans="1:25" x14ac:dyDescent="0.2">
      <c r="A354" s="113"/>
      <c r="B354" s="276"/>
      <c r="C354" s="128"/>
      <c r="N354" s="128"/>
      <c r="O354" s="128"/>
      <c r="Q354" s="128"/>
      <c r="R354" s="128"/>
      <c r="S354" s="128"/>
      <c r="T354" s="128"/>
      <c r="U354" s="128"/>
      <c r="V354" s="128"/>
      <c r="W354" s="128"/>
      <c r="X354" s="128"/>
      <c r="Y354" s="128"/>
    </row>
    <row r="355" spans="1:25" x14ac:dyDescent="0.2">
      <c r="A355" s="113"/>
      <c r="B355" s="276"/>
      <c r="C355" s="128"/>
      <c r="N355" s="128"/>
      <c r="O355" s="128"/>
      <c r="Q355" s="128"/>
      <c r="R355" s="128"/>
      <c r="S355" s="128"/>
      <c r="T355" s="128"/>
      <c r="U355" s="128"/>
      <c r="V355" s="128"/>
      <c r="W355" s="128"/>
      <c r="X355" s="128"/>
      <c r="Y355" s="128"/>
    </row>
    <row r="356" spans="1:25" x14ac:dyDescent="0.2">
      <c r="A356" s="113"/>
      <c r="B356" s="276"/>
      <c r="C356" s="128"/>
      <c r="N356" s="128"/>
      <c r="O356" s="128"/>
      <c r="Q356" s="128"/>
      <c r="R356" s="128"/>
      <c r="S356" s="128"/>
      <c r="T356" s="128"/>
      <c r="U356" s="128"/>
      <c r="V356" s="128"/>
      <c r="W356" s="128"/>
      <c r="X356" s="128"/>
      <c r="Y356" s="128"/>
    </row>
    <row r="357" spans="1:25" x14ac:dyDescent="0.2">
      <c r="A357" s="113"/>
      <c r="B357" s="113"/>
      <c r="C357" s="128"/>
      <c r="N357" s="126"/>
      <c r="O357" s="128"/>
      <c r="Q357" s="126"/>
      <c r="R357" s="126"/>
      <c r="S357" s="126"/>
      <c r="T357" s="126"/>
      <c r="U357" s="126"/>
      <c r="V357" s="126"/>
      <c r="W357" s="126"/>
      <c r="X357" s="126"/>
      <c r="Y357" s="126"/>
    </row>
    <row r="358" spans="1:25" x14ac:dyDescent="0.2">
      <c r="A358" s="113"/>
      <c r="B358" s="113"/>
      <c r="C358" s="128"/>
      <c r="N358" s="126"/>
      <c r="O358" s="128"/>
      <c r="Q358" s="126"/>
      <c r="R358" s="126"/>
      <c r="S358" s="126"/>
      <c r="T358" s="126"/>
      <c r="U358" s="126"/>
      <c r="V358" s="126"/>
      <c r="W358" s="126"/>
      <c r="X358" s="126"/>
      <c r="Y358" s="126"/>
    </row>
    <row r="359" spans="1:25" x14ac:dyDescent="0.2">
      <c r="A359" s="113"/>
      <c r="B359" s="113"/>
      <c r="N359" s="126"/>
      <c r="O359" s="128"/>
      <c r="Q359" s="126"/>
      <c r="R359" s="126"/>
      <c r="S359" s="126"/>
      <c r="T359" s="126"/>
      <c r="U359" s="126"/>
      <c r="V359" s="126"/>
      <c r="W359" s="126"/>
      <c r="X359" s="126"/>
      <c r="Y359" s="126"/>
    </row>
    <row r="360" spans="1:25" x14ac:dyDescent="0.2">
      <c r="A360" s="113"/>
      <c r="B360" s="113"/>
      <c r="C360" s="128"/>
      <c r="N360" s="126"/>
      <c r="Q360" s="126"/>
      <c r="R360" s="126"/>
      <c r="S360" s="126"/>
      <c r="T360" s="126"/>
      <c r="U360" s="126"/>
      <c r="V360" s="126"/>
      <c r="W360" s="126"/>
      <c r="X360" s="126"/>
      <c r="Y360" s="126"/>
    </row>
    <row r="361" spans="1:25" x14ac:dyDescent="0.2">
      <c r="A361" s="113"/>
      <c r="B361" s="113"/>
      <c r="C361" s="113"/>
      <c r="D361" s="113"/>
      <c r="E361" s="113"/>
      <c r="F361" s="113"/>
      <c r="G361" s="113"/>
      <c r="H361" s="113"/>
      <c r="I361" s="113"/>
      <c r="J361" s="113"/>
      <c r="K361" s="113"/>
      <c r="L361" s="113"/>
      <c r="M361" s="113"/>
      <c r="N361" s="113"/>
      <c r="O361" s="113"/>
      <c r="P361" s="113"/>
      <c r="Q361" s="113"/>
      <c r="R361" s="113"/>
      <c r="S361" s="113"/>
      <c r="T361" s="113"/>
      <c r="U361" s="113"/>
      <c r="V361" s="113"/>
      <c r="W361" s="113"/>
      <c r="X361" s="113"/>
      <c r="Y361" s="113"/>
    </row>
    <row r="362" spans="1:25" x14ac:dyDescent="0.2">
      <c r="A362" s="113"/>
      <c r="B362" s="113"/>
      <c r="C362" s="113"/>
      <c r="D362" s="11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</row>
  </sheetData>
  <mergeCells count="38">
    <mergeCell ref="X217:Y217"/>
    <mergeCell ref="F234:G234"/>
    <mergeCell ref="M234:P234"/>
    <mergeCell ref="G214:Q214"/>
    <mergeCell ref="B216:C216"/>
    <mergeCell ref="B217:C217"/>
    <mergeCell ref="D217:M217"/>
    <mergeCell ref="N217:U217"/>
    <mergeCell ref="V217:W217"/>
    <mergeCell ref="W112:X112"/>
    <mergeCell ref="Y112:Z112"/>
    <mergeCell ref="F132:J132"/>
    <mergeCell ref="M132:Q132"/>
    <mergeCell ref="F182:G182"/>
    <mergeCell ref="M182:P182"/>
    <mergeCell ref="F89:G89"/>
    <mergeCell ref="I89:J89"/>
    <mergeCell ref="G109:Q109"/>
    <mergeCell ref="B111:C111"/>
    <mergeCell ref="B112:C112"/>
    <mergeCell ref="D112:M112"/>
    <mergeCell ref="N112:U112"/>
    <mergeCell ref="Y8:Z8"/>
    <mergeCell ref="F35:G35"/>
    <mergeCell ref="I35:J35"/>
    <mergeCell ref="G57:Q57"/>
    <mergeCell ref="B59:C59"/>
    <mergeCell ref="W8:X8"/>
    <mergeCell ref="B60:C60"/>
    <mergeCell ref="D60:M60"/>
    <mergeCell ref="N60:U60"/>
    <mergeCell ref="W60:X60"/>
    <mergeCell ref="Y60:Z60"/>
    <mergeCell ref="G5:Q5"/>
    <mergeCell ref="B7:C7"/>
    <mergeCell ref="B8:C8"/>
    <mergeCell ref="D8:M8"/>
    <mergeCell ref="N8:U8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7A51-696C-4A93-9B34-E63967CA4EA3}">
  <dimension ref="A1:AM108"/>
  <sheetViews>
    <sheetView topLeftCell="A92" zoomScale="90" zoomScaleNormal="90" workbookViewId="0">
      <selection activeCell="A64" sqref="A64:A107"/>
    </sheetView>
  </sheetViews>
  <sheetFormatPr defaultColWidth="9.140625" defaultRowHeight="12.75" x14ac:dyDescent="0.2"/>
  <cols>
    <col min="1" max="1" width="3.5703125" style="265" customWidth="1"/>
    <col min="2" max="2" width="6.140625" style="265" customWidth="1"/>
    <col min="3" max="3" width="11" style="265" customWidth="1"/>
    <col min="4" max="4" width="11.5703125" style="265" customWidth="1"/>
    <col min="5" max="5" width="11.42578125" style="265" customWidth="1"/>
    <col min="6" max="6" width="11.28515625" style="265" customWidth="1"/>
    <col min="7" max="8" width="10.85546875" style="265" customWidth="1"/>
    <col min="9" max="9" width="12.5703125" style="265" customWidth="1"/>
    <col min="10" max="10" width="9.42578125" style="265" customWidth="1"/>
    <col min="11" max="11" width="11.140625" style="265" bestFit="1" customWidth="1"/>
    <col min="12" max="12" width="10.7109375" style="265" customWidth="1"/>
    <col min="13" max="13" width="11.42578125" style="265" customWidth="1"/>
    <col min="14" max="14" width="11.28515625" style="265" customWidth="1"/>
    <col min="15" max="15" width="11.7109375" style="265" customWidth="1"/>
    <col min="16" max="16" width="10.42578125" style="265" customWidth="1"/>
    <col min="17" max="17" width="11.140625" style="265" customWidth="1"/>
    <col min="18" max="18" width="9.7109375" style="265" customWidth="1"/>
    <col min="19" max="19" width="11.42578125" style="265" customWidth="1"/>
    <col min="20" max="20" width="9.42578125" style="265" customWidth="1"/>
    <col min="21" max="21" width="11.42578125" style="265" customWidth="1"/>
    <col min="22" max="22" width="12.42578125" style="265" customWidth="1"/>
    <col min="23" max="23" width="12.7109375" style="265" customWidth="1"/>
    <col min="24" max="24" width="11.140625" style="265" customWidth="1"/>
    <col min="25" max="25" width="11.28515625" style="265" customWidth="1"/>
    <col min="26" max="27" width="8.5703125" style="265" customWidth="1"/>
    <col min="28" max="32" width="9.140625" style="265"/>
    <col min="33" max="34" width="9.28515625" style="265" bestFit="1" customWidth="1"/>
    <col min="35" max="35" width="9.140625" style="265"/>
    <col min="36" max="39" width="9.28515625" style="265" bestFit="1" customWidth="1"/>
    <col min="40" max="16384" width="9.140625" style="265"/>
  </cols>
  <sheetData>
    <row r="1" spans="1:36" ht="13.5" thickBot="1" x14ac:dyDescent="0.25">
      <c r="A1" s="114" t="s">
        <v>1295</v>
      </c>
      <c r="B1" s="114"/>
      <c r="C1" s="114"/>
      <c r="D1" s="114"/>
      <c r="E1" s="114"/>
      <c r="F1" s="114"/>
      <c r="G1" s="114"/>
      <c r="H1" s="114"/>
      <c r="I1" s="114"/>
      <c r="J1" s="114" t="s">
        <v>1296</v>
      </c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376"/>
      <c r="Z1" s="376"/>
      <c r="AA1" s="376" t="s">
        <v>1388</v>
      </c>
      <c r="AB1" s="376"/>
    </row>
    <row r="2" spans="1:36" x14ac:dyDescent="0.2">
      <c r="A2" s="113" t="s">
        <v>307</v>
      </c>
      <c r="B2" s="113"/>
      <c r="C2" s="113"/>
      <c r="D2" s="113"/>
      <c r="E2" s="113"/>
      <c r="F2" s="113"/>
      <c r="H2" s="113" t="s">
        <v>1389</v>
      </c>
      <c r="I2" s="113"/>
      <c r="J2" s="113" t="s">
        <v>1299</v>
      </c>
      <c r="K2" s="113"/>
      <c r="L2" s="113"/>
      <c r="M2" s="116"/>
      <c r="N2" s="116"/>
      <c r="O2" s="116"/>
      <c r="P2" s="113"/>
      <c r="Q2" s="116"/>
      <c r="R2" s="116"/>
      <c r="S2" s="116"/>
      <c r="T2" s="116"/>
      <c r="U2" s="116"/>
      <c r="V2" s="116"/>
      <c r="W2" s="115"/>
      <c r="X2" s="115" t="s">
        <v>845</v>
      </c>
      <c r="Y2" s="113"/>
      <c r="Z2" s="129"/>
      <c r="AA2" s="115"/>
    </row>
    <row r="3" spans="1:36" x14ac:dyDescent="0.2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7"/>
      <c r="N3" s="116"/>
      <c r="O3" s="116"/>
      <c r="P3" s="113"/>
      <c r="Q3" s="113"/>
      <c r="R3" s="113"/>
      <c r="S3" s="113"/>
      <c r="T3" s="113"/>
      <c r="U3" s="113"/>
      <c r="V3" s="117"/>
      <c r="W3" s="117"/>
      <c r="X3" s="117" t="s">
        <v>916</v>
      </c>
      <c r="Y3" s="116" t="s">
        <v>1512</v>
      </c>
      <c r="Z3" s="113"/>
      <c r="AA3" s="117"/>
    </row>
    <row r="4" spans="1:36" x14ac:dyDescent="0.2">
      <c r="A4" s="113" t="s">
        <v>310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7"/>
      <c r="N4" s="116"/>
      <c r="O4" s="116"/>
      <c r="P4" s="117"/>
      <c r="Q4" s="113"/>
      <c r="R4" s="113"/>
      <c r="S4" s="113"/>
      <c r="T4" s="113"/>
      <c r="U4" s="113"/>
      <c r="V4" s="113"/>
      <c r="Y4" s="116"/>
      <c r="Z4" s="113"/>
      <c r="AA4" s="117"/>
    </row>
    <row r="5" spans="1:36" x14ac:dyDescent="0.2">
      <c r="A5" s="113"/>
      <c r="B5" s="113"/>
      <c r="C5" s="113"/>
      <c r="D5" s="113"/>
      <c r="E5" s="113"/>
      <c r="F5" s="113"/>
      <c r="G5" s="113"/>
      <c r="H5" s="372" t="s">
        <v>1390</v>
      </c>
      <c r="I5" s="372"/>
      <c r="J5" s="372"/>
      <c r="K5" s="372"/>
      <c r="L5" s="372"/>
      <c r="M5" s="372"/>
      <c r="N5" s="372"/>
      <c r="O5" s="372"/>
      <c r="P5" s="372"/>
      <c r="Q5" s="372"/>
      <c r="R5" s="372"/>
      <c r="S5" s="113"/>
      <c r="T5" s="113"/>
      <c r="U5" s="113"/>
      <c r="V5" s="113"/>
      <c r="Y5" s="116"/>
      <c r="Z5" s="113"/>
      <c r="AA5" s="117"/>
    </row>
    <row r="6" spans="1:36" ht="13.5" thickBot="1" x14ac:dyDescent="0.25">
      <c r="A6" s="114" t="s">
        <v>1292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8"/>
      <c r="N6" s="114"/>
      <c r="O6" s="114"/>
      <c r="P6" s="114"/>
      <c r="Q6" s="114"/>
      <c r="R6" s="114"/>
      <c r="S6" s="114"/>
      <c r="T6" s="114"/>
      <c r="U6" s="114"/>
      <c r="V6" s="114"/>
      <c r="W6" s="264"/>
      <c r="X6" s="264"/>
      <c r="Y6" s="114" t="s">
        <v>1519</v>
      </c>
      <c r="Z6" s="114"/>
      <c r="AA6" s="114"/>
      <c r="AB6" s="264"/>
    </row>
    <row r="7" spans="1:36" x14ac:dyDescent="0.2">
      <c r="A7" s="113"/>
      <c r="B7" s="373" t="s">
        <v>1301</v>
      </c>
      <c r="C7" s="373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</row>
    <row r="8" spans="1:36" x14ac:dyDescent="0.2">
      <c r="A8" s="113"/>
      <c r="B8" s="374" t="s">
        <v>447</v>
      </c>
      <c r="C8" s="374"/>
      <c r="D8" s="375" t="s">
        <v>1302</v>
      </c>
      <c r="E8" s="375"/>
      <c r="F8" s="375"/>
      <c r="G8" s="375"/>
      <c r="H8" s="375"/>
      <c r="I8" s="375"/>
      <c r="J8" s="375"/>
      <c r="K8" s="375"/>
      <c r="L8" s="375"/>
      <c r="M8" s="375"/>
      <c r="N8" s="375" t="s">
        <v>1303</v>
      </c>
      <c r="O8" s="375"/>
      <c r="P8" s="375"/>
      <c r="Q8" s="375"/>
      <c r="R8" s="375"/>
      <c r="S8" s="375"/>
      <c r="T8" s="375"/>
      <c r="U8" s="375"/>
      <c r="V8" s="375"/>
      <c r="W8" s="375" t="s">
        <v>1304</v>
      </c>
      <c r="X8" s="375"/>
      <c r="Y8" s="375" t="s">
        <v>1305</v>
      </c>
      <c r="Z8" s="375"/>
    </row>
    <row r="9" spans="1:36" x14ac:dyDescent="0.2">
      <c r="A9" s="113"/>
      <c r="B9" s="120" t="s">
        <v>846</v>
      </c>
      <c r="C9" s="120" t="s">
        <v>847</v>
      </c>
      <c r="D9" s="267" t="s">
        <v>848</v>
      </c>
      <c r="E9" s="120" t="s">
        <v>849</v>
      </c>
      <c r="F9" s="120" t="s">
        <v>1306</v>
      </c>
      <c r="G9" s="119" t="s">
        <v>1307</v>
      </c>
      <c r="H9" s="119" t="s">
        <v>1308</v>
      </c>
      <c r="I9" s="119" t="s">
        <v>1309</v>
      </c>
      <c r="J9" s="119" t="s">
        <v>1310</v>
      </c>
      <c r="K9" s="268" t="s">
        <v>1311</v>
      </c>
      <c r="L9" s="268" t="s">
        <v>1312</v>
      </c>
      <c r="M9" s="269" t="s">
        <v>1313</v>
      </c>
      <c r="N9" s="119" t="s">
        <v>1314</v>
      </c>
      <c r="O9" s="119" t="s">
        <v>1315</v>
      </c>
      <c r="P9" s="119" t="s">
        <v>1316</v>
      </c>
      <c r="Q9" s="119" t="s">
        <v>1317</v>
      </c>
      <c r="R9" s="119" t="s">
        <v>1318</v>
      </c>
      <c r="S9" s="119" t="s">
        <v>1319</v>
      </c>
      <c r="T9" s="119" t="s">
        <v>1320</v>
      </c>
      <c r="U9" s="268" t="s">
        <v>1321</v>
      </c>
      <c r="V9" s="269" t="s">
        <v>1322</v>
      </c>
      <c r="W9" s="269" t="s">
        <v>1323</v>
      </c>
      <c r="X9" s="119" t="s">
        <v>1324</v>
      </c>
      <c r="Y9" s="119" t="s">
        <v>1325</v>
      </c>
      <c r="Z9" s="119" t="s">
        <v>1326</v>
      </c>
    </row>
    <row r="10" spans="1:36" x14ac:dyDescent="0.2">
      <c r="A10" s="120" t="s">
        <v>313</v>
      </c>
      <c r="B10" s="120" t="s">
        <v>1327</v>
      </c>
      <c r="C10" s="120"/>
      <c r="D10" s="270" t="s">
        <v>1328</v>
      </c>
      <c r="E10" s="120" t="s">
        <v>1329</v>
      </c>
      <c r="F10" s="120" t="s">
        <v>1330</v>
      </c>
      <c r="G10" s="119" t="s">
        <v>1331</v>
      </c>
      <c r="H10" s="120" t="s">
        <v>1332</v>
      </c>
      <c r="I10" s="120" t="s">
        <v>1333</v>
      </c>
      <c r="J10" s="120" t="s">
        <v>1334</v>
      </c>
      <c r="K10" s="120" t="s">
        <v>1335</v>
      </c>
      <c r="L10" s="120" t="s">
        <v>1336</v>
      </c>
      <c r="M10" s="271" t="s">
        <v>717</v>
      </c>
      <c r="N10" s="120" t="s">
        <v>1328</v>
      </c>
      <c r="O10" s="120" t="s">
        <v>1329</v>
      </c>
      <c r="P10" s="119" t="s">
        <v>1330</v>
      </c>
      <c r="Q10" s="119" t="s">
        <v>1331</v>
      </c>
      <c r="R10" s="120" t="s">
        <v>1332</v>
      </c>
      <c r="S10" s="120" t="s">
        <v>1333</v>
      </c>
      <c r="T10" s="120" t="s">
        <v>1334</v>
      </c>
      <c r="U10" s="120" t="s">
        <v>1336</v>
      </c>
      <c r="V10" s="271" t="s">
        <v>717</v>
      </c>
      <c r="W10" s="119" t="s">
        <v>1337</v>
      </c>
      <c r="X10" s="271" t="s">
        <v>1338</v>
      </c>
      <c r="Y10" s="120" t="s">
        <v>1339</v>
      </c>
      <c r="Z10" s="120" t="s">
        <v>1340</v>
      </c>
    </row>
    <row r="11" spans="1:36" ht="13.5" thickBot="1" x14ac:dyDescent="0.25">
      <c r="A11" s="118" t="s">
        <v>319</v>
      </c>
      <c r="B11" s="272" t="s">
        <v>1341</v>
      </c>
      <c r="C11" s="273" t="s">
        <v>1342</v>
      </c>
      <c r="D11" s="274" t="s">
        <v>1343</v>
      </c>
      <c r="E11" s="273" t="s">
        <v>1344</v>
      </c>
      <c r="F11" s="273" t="s">
        <v>1344</v>
      </c>
      <c r="G11" s="121" t="s">
        <v>1344</v>
      </c>
      <c r="H11" s="273" t="s">
        <v>1344</v>
      </c>
      <c r="I11" s="273" t="s">
        <v>1345</v>
      </c>
      <c r="J11" s="273" t="s">
        <v>1344</v>
      </c>
      <c r="K11" s="273" t="s">
        <v>1346</v>
      </c>
      <c r="L11" s="273" t="s">
        <v>1344</v>
      </c>
      <c r="M11" s="275"/>
      <c r="N11" s="121" t="s">
        <v>1343</v>
      </c>
      <c r="O11" s="121" t="s">
        <v>1344</v>
      </c>
      <c r="P11" s="121" t="s">
        <v>1344</v>
      </c>
      <c r="Q11" s="121" t="s">
        <v>1344</v>
      </c>
      <c r="R11" s="273" t="s">
        <v>1344</v>
      </c>
      <c r="S11" s="273" t="s">
        <v>1345</v>
      </c>
      <c r="T11" s="273" t="s">
        <v>1344</v>
      </c>
      <c r="U11" s="273" t="s">
        <v>1344</v>
      </c>
      <c r="V11" s="275"/>
      <c r="W11" s="273" t="s">
        <v>1347</v>
      </c>
      <c r="X11" s="275" t="s">
        <v>1348</v>
      </c>
      <c r="Y11" s="118" t="s">
        <v>1349</v>
      </c>
      <c r="Z11" s="118" t="s">
        <v>1350</v>
      </c>
      <c r="AA11" s="305"/>
    </row>
    <row r="12" spans="1:36" x14ac:dyDescent="0.2">
      <c r="A12" s="120">
        <v>1</v>
      </c>
      <c r="B12" s="306">
        <v>1000</v>
      </c>
      <c r="C12" s="128">
        <f>+B12*730*0.35</f>
        <v>255499.99999999997</v>
      </c>
      <c r="D12" s="279">
        <f>+$G$26+$B12*$G$27+($C12*$G$30)/100</f>
        <v>17327.63</v>
      </c>
      <c r="E12" s="278">
        <f>+$C12*$G$34/100</f>
        <v>9721.7749999999996</v>
      </c>
      <c r="F12" s="278">
        <f>+$B12*$G$37</f>
        <v>670</v>
      </c>
      <c r="G12" s="278">
        <f>+$B12*$G$38</f>
        <v>170</v>
      </c>
      <c r="H12" s="278">
        <f>+$C12*$G$40/100</f>
        <v>181.405</v>
      </c>
      <c r="I12" s="278">
        <f>+$B12*$G$39</f>
        <v>860</v>
      </c>
      <c r="J12" s="278">
        <f>+$B12*$G$41</f>
        <v>600</v>
      </c>
      <c r="K12" s="278">
        <f>+$C12*$G$42/100</f>
        <v>0</v>
      </c>
      <c r="L12" s="278">
        <f>+SUM(D12:K12)*0.025641</f>
        <v>757.19949921</v>
      </c>
      <c r="M12" s="278">
        <f>SUM(D12:L12)</f>
        <v>30288.009499209998</v>
      </c>
      <c r="N12" s="279">
        <f>+$L$26+$B12*$L$27+($C12*$L$30)/100</f>
        <v>18019.904999999999</v>
      </c>
      <c r="O12" s="278">
        <f>+$C12*$L$34/100</f>
        <v>9721.7749999999996</v>
      </c>
      <c r="P12" s="278">
        <f>+$B12*$L$37</f>
        <v>670</v>
      </c>
      <c r="Q12" s="278">
        <f>+$B12*$L$38</f>
        <v>170</v>
      </c>
      <c r="R12" s="278">
        <f>+$C12*$L$40/100</f>
        <v>181.405</v>
      </c>
      <c r="S12" s="278">
        <f>+$B12*$L$39</f>
        <v>860</v>
      </c>
      <c r="T12" s="278">
        <f>+$B12*$L$41</f>
        <v>600</v>
      </c>
      <c r="U12" s="278">
        <f>+SUM(N12:T12)*0.025641</f>
        <v>774.95012248499995</v>
      </c>
      <c r="V12" s="278">
        <f>SUM(N12:U12)</f>
        <v>30998.035122484998</v>
      </c>
      <c r="W12" s="277">
        <f>V12-M12</f>
        <v>710.02562327499982</v>
      </c>
      <c r="X12" s="280">
        <f>+W12/M12</f>
        <v>2.3442465682451646E-2</v>
      </c>
      <c r="Y12" s="294">
        <f>+M12/C12 *100</f>
        <v>11.854406849005873</v>
      </c>
      <c r="Z12" s="314">
        <f>+V12/C12*100</f>
        <v>12.132303374749512</v>
      </c>
      <c r="AA12" s="313"/>
      <c r="AB12" s="315"/>
    </row>
    <row r="13" spans="1:36" x14ac:dyDescent="0.2">
      <c r="A13" s="120">
        <v>2</v>
      </c>
      <c r="B13" s="306">
        <v>1000</v>
      </c>
      <c r="C13" s="128">
        <f>+B13*730*0.6</f>
        <v>438000</v>
      </c>
      <c r="D13" s="277">
        <f>+$G$26+$B13*$G$27+($C13*$G$30)/100</f>
        <v>19382.580000000002</v>
      </c>
      <c r="E13" s="278">
        <f>+$C13*$G$34/100</f>
        <v>16665.900000000001</v>
      </c>
      <c r="F13" s="278">
        <f>+$B13*$G$37</f>
        <v>670</v>
      </c>
      <c r="G13" s="278">
        <f>+$B13*$G$38</f>
        <v>170</v>
      </c>
      <c r="H13" s="278">
        <f>+$C13*$G$40/100</f>
        <v>310.98</v>
      </c>
      <c r="I13" s="278">
        <f>+$B13*$G$39</f>
        <v>860</v>
      </c>
      <c r="J13" s="278">
        <f>+$B13*$G$41</f>
        <v>600</v>
      </c>
      <c r="K13" s="278">
        <f>+$C13*$G$42/100</f>
        <v>0</v>
      </c>
      <c r="L13" s="278">
        <f t="shared" ref="L13:L22" si="0">+SUM(D13:K13)*0.025641</f>
        <v>991.2672138600002</v>
      </c>
      <c r="M13" s="278">
        <f>SUM(D13:L13)</f>
        <v>39650.727213860009</v>
      </c>
      <c r="N13" s="277">
        <f>+$L$26+$B13*$L$27+($C13*$L$30)/100</f>
        <v>20156.98</v>
      </c>
      <c r="O13" s="278">
        <f>+$C13*$L$34/100</f>
        <v>16665.900000000001</v>
      </c>
      <c r="P13" s="278">
        <f>+$B13*$L$37</f>
        <v>670</v>
      </c>
      <c r="Q13" s="278">
        <f>+$B13*$L$38</f>
        <v>170</v>
      </c>
      <c r="R13" s="278">
        <f>+$C13*$L$40/100</f>
        <v>310.98</v>
      </c>
      <c r="S13" s="278">
        <f>+$B13*$L$39</f>
        <v>860</v>
      </c>
      <c r="T13" s="278">
        <f>+$B13*$L$41</f>
        <v>600</v>
      </c>
      <c r="U13" s="278">
        <f>+SUM(N13:T13)*0.025641</f>
        <v>1011.1236042600002</v>
      </c>
      <c r="V13" s="278">
        <f>SUM(N13:U13)</f>
        <v>40444.983604260007</v>
      </c>
      <c r="W13" s="277">
        <f>+V13-M13</f>
        <v>794.25639039999805</v>
      </c>
      <c r="X13" s="280">
        <f>+W13/M13</f>
        <v>2.0031319630434516E-2</v>
      </c>
      <c r="Y13" s="295">
        <f>+M13/C13 *100</f>
        <v>9.0526774460867596</v>
      </c>
      <c r="Z13" s="314">
        <f>+V13/C13*100</f>
        <v>9.2340145215205496</v>
      </c>
      <c r="AA13" s="313"/>
      <c r="AB13" s="316"/>
    </row>
    <row r="14" spans="1:36" x14ac:dyDescent="0.2">
      <c r="A14" s="120">
        <v>3</v>
      </c>
      <c r="B14" s="306">
        <v>1000</v>
      </c>
      <c r="C14" s="128">
        <f>+B14*730*0.9</f>
        <v>657000</v>
      </c>
      <c r="D14" s="277">
        <f>+$H$26+($B14*$H$28+$B14*$H$29)+$C14/100*$H$31*0.25+$C14/100*$H$32*0.4+$C14/100*$H$33*0.35</f>
        <v>21961.524000000001</v>
      </c>
      <c r="E14" s="278">
        <f>+$C14*$H$35/100*0.25+C14*$H$36/100*0.75</f>
        <v>24903.584999999999</v>
      </c>
      <c r="F14" s="278">
        <f>+$B14*$G$37</f>
        <v>670</v>
      </c>
      <c r="G14" s="278">
        <f>+$B14*$H$38</f>
        <v>170</v>
      </c>
      <c r="H14" s="278">
        <f>+$C14*$H$40/100</f>
        <v>466.47000000000008</v>
      </c>
      <c r="I14" s="278">
        <f>+$B14*$H$39</f>
        <v>860</v>
      </c>
      <c r="J14" s="278">
        <f>+$B14*$H$41</f>
        <v>600</v>
      </c>
      <c r="K14" s="278">
        <f>+$C14*$G$42/100</f>
        <v>0</v>
      </c>
      <c r="L14" s="278">
        <f t="shared" si="0"/>
        <v>1272.603317139</v>
      </c>
      <c r="M14" s="278">
        <f>SUM(D14:L14)</f>
        <v>50904.182317138999</v>
      </c>
      <c r="N14" s="277">
        <f>+$M$26+($B14*$M$28+$B14*$M29)+$C14/100*$M$31*0.25+$C14/100*M32*0.4+$C14/100*M33*0.35</f>
        <v>22829.073</v>
      </c>
      <c r="O14" s="278">
        <f>+$C14*$M$35/100*0.25+C14*$M$36/100*0.75</f>
        <v>24903.584999999999</v>
      </c>
      <c r="P14" s="278">
        <f>+$B14*$L$37</f>
        <v>670</v>
      </c>
      <c r="Q14" s="278">
        <f>+$B14*$M$38</f>
        <v>170</v>
      </c>
      <c r="R14" s="278">
        <f>+$C14*$M$40/100</f>
        <v>466.47000000000008</v>
      </c>
      <c r="S14" s="278">
        <f>+$B14*$M$39</f>
        <v>860</v>
      </c>
      <c r="T14" s="278">
        <f>+$B14*$M$41</f>
        <v>600</v>
      </c>
      <c r="U14" s="278">
        <f>+SUM(N14:T14)*0.025641</f>
        <v>1294.8481410479999</v>
      </c>
      <c r="V14" s="278">
        <f>SUM(N14:U14)</f>
        <v>51793.976141047999</v>
      </c>
      <c r="W14" s="277">
        <f>+V14-M14</f>
        <v>889.79382390899991</v>
      </c>
      <c r="X14" s="280">
        <f>+W14/M14</f>
        <v>1.7479778348377752E-2</v>
      </c>
      <c r="Y14" s="295">
        <f>+M14/C14 *100</f>
        <v>7.7479729554245047</v>
      </c>
      <c r="Z14" s="314">
        <f>+V14/C14*100</f>
        <v>7.8834058053345508</v>
      </c>
      <c r="AA14" s="313"/>
      <c r="AB14" s="316"/>
      <c r="AE14" s="113"/>
      <c r="AG14" s="280"/>
      <c r="AH14" s="291"/>
      <c r="AJ14" s="316"/>
    </row>
    <row r="15" spans="1:36" x14ac:dyDescent="0.2">
      <c r="A15" s="120">
        <v>4</v>
      </c>
      <c r="D15" s="317"/>
      <c r="E15" s="318"/>
      <c r="F15" s="278"/>
      <c r="G15" s="318"/>
      <c r="H15" s="318"/>
      <c r="I15" s="318"/>
      <c r="J15" s="278"/>
      <c r="K15" s="278"/>
      <c r="L15" s="278"/>
      <c r="M15" s="318"/>
      <c r="N15" s="317"/>
      <c r="O15" s="318"/>
      <c r="P15" s="278"/>
      <c r="Q15" s="318"/>
      <c r="R15" s="318"/>
      <c r="S15" s="318"/>
      <c r="T15" s="278"/>
      <c r="U15" s="278"/>
      <c r="V15" s="318"/>
      <c r="W15" s="277"/>
      <c r="X15" s="280"/>
      <c r="Y15" s="319"/>
      <c r="Z15" s="320"/>
      <c r="AC15" s="137"/>
      <c r="AD15" s="113"/>
      <c r="AE15" s="113"/>
      <c r="AF15" s="128"/>
      <c r="AG15" s="280"/>
      <c r="AH15" s="291"/>
    </row>
    <row r="16" spans="1:36" x14ac:dyDescent="0.2">
      <c r="A16" s="120">
        <v>5</v>
      </c>
      <c r="B16" s="309">
        <v>2500</v>
      </c>
      <c r="C16" s="128">
        <f>+B16*730*0.35</f>
        <v>638750</v>
      </c>
      <c r="D16" s="277">
        <f>+$G$26+$B16*$G$27+($C16*$G$30)/100</f>
        <v>42298.024999999994</v>
      </c>
      <c r="E16" s="278">
        <f>+$C16*$G$34/100</f>
        <v>24304.4375</v>
      </c>
      <c r="F16" s="278">
        <f>+$B16*$G$37</f>
        <v>1675</v>
      </c>
      <c r="G16" s="278">
        <f>+$B16*$G$38</f>
        <v>425.00000000000006</v>
      </c>
      <c r="H16" s="278">
        <f>+$C16*$G$40/100</f>
        <v>453.51250000000005</v>
      </c>
      <c r="I16" s="278">
        <f>+$B16*$G$39</f>
        <v>2150</v>
      </c>
      <c r="J16" s="278">
        <f>+$B16*$G$41</f>
        <v>1500</v>
      </c>
      <c r="K16" s="278">
        <f>+$C16*$G$42/100</f>
        <v>0</v>
      </c>
      <c r="L16" s="278">
        <f t="shared" si="0"/>
        <v>1866.8180049749999</v>
      </c>
      <c r="M16" s="278">
        <f>SUM(D16:L16)</f>
        <v>74672.793004974985</v>
      </c>
      <c r="N16" s="277">
        <f>+$L$26+$B16*$L$27+($C16*$L$30)/100</f>
        <v>43987.762499999997</v>
      </c>
      <c r="O16" s="278">
        <f>+$C16*$L$34/100</f>
        <v>24304.4375</v>
      </c>
      <c r="P16" s="278">
        <f>+$B16*$L$37</f>
        <v>1675</v>
      </c>
      <c r="Q16" s="278">
        <f>+$B16*$L$38</f>
        <v>425.00000000000006</v>
      </c>
      <c r="R16" s="278">
        <f>+$C16*$L$40/100</f>
        <v>453.51250000000005</v>
      </c>
      <c r="S16" s="278">
        <f>+$B16*$L$39</f>
        <v>2150</v>
      </c>
      <c r="T16" s="278">
        <f>+$B16*$L$41</f>
        <v>1500</v>
      </c>
      <c r="U16" s="278">
        <f>+SUM(N16:T16)*0.025641</f>
        <v>1910.1445642125</v>
      </c>
      <c r="V16" s="278">
        <f>SUM(N16:U16)</f>
        <v>76405.857064212498</v>
      </c>
      <c r="W16" s="277">
        <f>+V16-M16</f>
        <v>1733.064059237513</v>
      </c>
      <c r="X16" s="280">
        <f>+W16/M16</f>
        <v>2.3208775103966576E-2</v>
      </c>
      <c r="Y16" s="295">
        <f>+M16/C16 *100</f>
        <v>11.690456830524459</v>
      </c>
      <c r="Z16" s="314">
        <f>+V16/C16*100</f>
        <v>11.961778013966731</v>
      </c>
      <c r="AA16" s="313"/>
      <c r="AC16" s="137"/>
      <c r="AD16" s="113"/>
      <c r="AE16" s="113"/>
      <c r="AF16" s="128"/>
      <c r="AG16" s="280"/>
      <c r="AH16" s="291"/>
      <c r="AI16" s="128"/>
      <c r="AJ16" s="288"/>
    </row>
    <row r="17" spans="1:39" x14ac:dyDescent="0.2">
      <c r="A17" s="120">
        <v>6</v>
      </c>
      <c r="B17" s="309">
        <v>2500</v>
      </c>
      <c r="C17" s="128">
        <f>+B17*730*0.6</f>
        <v>1095000</v>
      </c>
      <c r="D17" s="277">
        <f>+$G$26+$B17*$G$27+($C17*$G$30)/100</f>
        <v>47435.399999999994</v>
      </c>
      <c r="E17" s="278">
        <f>+$C17*$G$34/100</f>
        <v>41664.75</v>
      </c>
      <c r="F17" s="278">
        <f>+$B17*$G$37</f>
        <v>1675</v>
      </c>
      <c r="G17" s="278">
        <f>+$B17*$G$38</f>
        <v>425.00000000000006</v>
      </c>
      <c r="H17" s="278">
        <f>+$C17*$G$40/100</f>
        <v>777.45000000000016</v>
      </c>
      <c r="I17" s="278">
        <f>+$B17*$G$39</f>
        <v>2150</v>
      </c>
      <c r="J17" s="278">
        <f>+$B17*$G$41</f>
        <v>1500</v>
      </c>
      <c r="K17" s="278">
        <f>+$C17*$G$42/100</f>
        <v>0</v>
      </c>
      <c r="L17" s="278">
        <f t="shared" si="0"/>
        <v>2451.9872915999999</v>
      </c>
      <c r="M17" s="278">
        <f>SUM(D17:L17)</f>
        <v>98079.587291599993</v>
      </c>
      <c r="N17" s="277">
        <f>+$L$26+$B17*$L$27+($C17*$L$30)/100</f>
        <v>49330.45</v>
      </c>
      <c r="O17" s="278">
        <f>+$C17*$L$34/100</f>
        <v>41664.75</v>
      </c>
      <c r="P17" s="278">
        <f>+$B17*$L$37</f>
        <v>1675</v>
      </c>
      <c r="Q17" s="278">
        <f>+$B17*$L$38</f>
        <v>425.00000000000006</v>
      </c>
      <c r="R17" s="278">
        <f>+$C17*$L$40/100</f>
        <v>777.45000000000016</v>
      </c>
      <c r="S17" s="278">
        <f>+$B17*$L$39</f>
        <v>2150</v>
      </c>
      <c r="T17" s="278">
        <f>+$B17*$L$41</f>
        <v>1500</v>
      </c>
      <c r="U17" s="278">
        <f>+SUM(N17:T17)*0.025641</f>
        <v>2500.5782686499997</v>
      </c>
      <c r="V17" s="278">
        <f>SUM(N17:U17)</f>
        <v>100023.22826865</v>
      </c>
      <c r="W17" s="277">
        <f>+V17-M17</f>
        <v>1943.6409770500031</v>
      </c>
      <c r="X17" s="280">
        <f>+W17/M17</f>
        <v>1.9816977525316991E-2</v>
      </c>
      <c r="Y17" s="295">
        <f>+M17/C17 *100</f>
        <v>8.9570399353059358</v>
      </c>
      <c r="Z17" s="314">
        <f>+V17/C17*100</f>
        <v>9.1345413943972602</v>
      </c>
      <c r="AA17" s="313"/>
      <c r="AC17" s="137"/>
      <c r="AD17" s="113"/>
      <c r="AE17" s="113"/>
      <c r="AF17" s="128"/>
      <c r="AG17" s="128"/>
      <c r="AH17" s="321"/>
      <c r="AI17" s="128"/>
      <c r="AJ17" s="288"/>
    </row>
    <row r="18" spans="1:39" x14ac:dyDescent="0.2">
      <c r="A18" s="120">
        <v>7</v>
      </c>
      <c r="B18" s="309">
        <v>2500</v>
      </c>
      <c r="C18" s="128">
        <f>+B18*730*0.9</f>
        <v>1642500</v>
      </c>
      <c r="D18" s="277">
        <f>+$H$26+($B18*$H$28+$B18*$H$29)+$C18/100*$H$31*0.25+$C18/100*$H$32*0.4+$C18/100*$H$33*0.35</f>
        <v>53882.759999999995</v>
      </c>
      <c r="E18" s="278">
        <f>+$C18*$H$35/100*0.25+C18*$H$36/100*0.75</f>
        <v>62258.962500000009</v>
      </c>
      <c r="F18" s="278">
        <f>+$B18*$G$37</f>
        <v>1675</v>
      </c>
      <c r="G18" s="278">
        <f>+$B18*$H$38</f>
        <v>425.00000000000006</v>
      </c>
      <c r="H18" s="278">
        <f>+$C18*$H$40/100</f>
        <v>1166.1750000000002</v>
      </c>
      <c r="I18" s="278">
        <f>+$B18*$H$39</f>
        <v>2150</v>
      </c>
      <c r="J18" s="278">
        <f>+$B18*$H$41</f>
        <v>1500</v>
      </c>
      <c r="K18" s="278">
        <f>+$C18*$G$42/100</f>
        <v>0</v>
      </c>
      <c r="L18" s="278">
        <f t="shared" si="0"/>
        <v>3155.3275497975001</v>
      </c>
      <c r="M18" s="278">
        <f>SUM(D18:L18)</f>
        <v>126213.2250497975</v>
      </c>
      <c r="N18" s="277">
        <f>+$M$26+($B18*$M$28+$B18*$M29)+$C18/100*$M$31*0.25+$C18/100*M32*0.4+$C18/100*M33*0.35</f>
        <v>56010.682499999995</v>
      </c>
      <c r="O18" s="278">
        <f>+$C18*$M$35/100*0.25+C18*$M$36/100*0.75</f>
        <v>62258.962500000009</v>
      </c>
      <c r="P18" s="278">
        <f>+$B18*$L$37</f>
        <v>1675</v>
      </c>
      <c r="Q18" s="278">
        <f>+$B18*$M$38</f>
        <v>425.00000000000006</v>
      </c>
      <c r="R18" s="278">
        <f>+$C18*$M$40/100</f>
        <v>1166.1750000000002</v>
      </c>
      <c r="S18" s="278">
        <f>+$B18*$M$39</f>
        <v>2150</v>
      </c>
      <c r="T18" s="278">
        <f>+$B18*$M$41</f>
        <v>1500</v>
      </c>
      <c r="U18" s="278">
        <f>+SUM(N18:T18)*0.025641</f>
        <v>3209.8896106200004</v>
      </c>
      <c r="V18" s="278">
        <f>SUM(N18:U18)</f>
        <v>128395.70961062</v>
      </c>
      <c r="W18" s="277">
        <f>+V18-M18</f>
        <v>2182.4845608225005</v>
      </c>
      <c r="X18" s="280">
        <f>+W18/M18</f>
        <v>1.7292043365197268E-2</v>
      </c>
      <c r="Y18" s="295">
        <f>+M18/C18 *100</f>
        <v>7.684214614903957</v>
      </c>
      <c r="Z18" s="314">
        <f>+V18/C18*100</f>
        <v>7.8170903872523594</v>
      </c>
      <c r="AA18" s="313"/>
    </row>
    <row r="19" spans="1:39" x14ac:dyDescent="0.2">
      <c r="A19" s="120">
        <v>8</v>
      </c>
      <c r="D19" s="317"/>
      <c r="E19" s="318"/>
      <c r="F19" s="278"/>
      <c r="G19" s="318"/>
      <c r="H19" s="318"/>
      <c r="I19" s="318"/>
      <c r="J19" s="278"/>
      <c r="K19" s="278"/>
      <c r="L19" s="278"/>
      <c r="M19" s="318"/>
      <c r="N19" s="317"/>
      <c r="O19" s="318"/>
      <c r="P19" s="278"/>
      <c r="Q19" s="318"/>
      <c r="R19" s="318"/>
      <c r="S19" s="318"/>
      <c r="T19" s="278"/>
      <c r="U19" s="278"/>
      <c r="V19" s="318"/>
      <c r="W19" s="277"/>
      <c r="X19" s="280"/>
      <c r="Y19" s="319"/>
      <c r="Z19" s="320"/>
      <c r="AB19" s="128"/>
      <c r="AC19" s="113"/>
      <c r="AD19" s="113"/>
      <c r="AE19" s="128"/>
      <c r="AF19" s="128"/>
      <c r="AG19" s="322"/>
      <c r="AH19" s="322"/>
      <c r="AI19" s="322"/>
      <c r="AJ19" s="323"/>
      <c r="AK19" s="322"/>
    </row>
    <row r="20" spans="1:39" x14ac:dyDescent="0.2">
      <c r="A20" s="120">
        <v>9</v>
      </c>
      <c r="B20" s="310">
        <v>5000</v>
      </c>
      <c r="C20" s="128">
        <f>+B20*730*0.35</f>
        <v>1277500</v>
      </c>
      <c r="D20" s="277">
        <f>+$G$26+$B20*$G$27+($C20*$G$30)/100</f>
        <v>83915.349999999991</v>
      </c>
      <c r="E20" s="278">
        <f>+$C20*$G$34/100</f>
        <v>48608.875</v>
      </c>
      <c r="F20" s="278">
        <f>+$B20*$G$37</f>
        <v>3350</v>
      </c>
      <c r="G20" s="278">
        <f>+$B20*$G$38</f>
        <v>850.00000000000011</v>
      </c>
      <c r="H20" s="278">
        <f>+$C20*$G$40/100</f>
        <v>907.02500000000009</v>
      </c>
      <c r="I20" s="278">
        <f>+$B20*$G$39</f>
        <v>4300</v>
      </c>
      <c r="J20" s="278">
        <f>+$B20*$G$41</f>
        <v>3000</v>
      </c>
      <c r="K20" s="278">
        <f>+$C20*$G$42/100</f>
        <v>0</v>
      </c>
      <c r="L20" s="278">
        <f t="shared" si="0"/>
        <v>3716.1821812499993</v>
      </c>
      <c r="M20" s="278">
        <f>SUM(D20:L20)</f>
        <v>148647.43218124998</v>
      </c>
      <c r="N20" s="277">
        <f>+$L$26+$B20*$L$27+($C20*$L$30)/100</f>
        <v>87267.524999999994</v>
      </c>
      <c r="O20" s="278">
        <f>+$C20*$L$34/100</f>
        <v>48608.875</v>
      </c>
      <c r="P20" s="278">
        <f>+$B20*$L$37</f>
        <v>3350</v>
      </c>
      <c r="Q20" s="278">
        <f>+$B20*$L$38</f>
        <v>850.00000000000011</v>
      </c>
      <c r="R20" s="278">
        <f>+$C20*$L$40/100</f>
        <v>907.02500000000009</v>
      </c>
      <c r="S20" s="278">
        <f>+$B20*$L$39</f>
        <v>4300</v>
      </c>
      <c r="T20" s="278">
        <f>+$B20*$L$41</f>
        <v>3000</v>
      </c>
      <c r="U20" s="278">
        <f>+SUM(N20:T20)*0.025641</f>
        <v>3802.135300425</v>
      </c>
      <c r="V20" s="278">
        <f>SUM(N20:U20)</f>
        <v>152085.56030042499</v>
      </c>
      <c r="W20" s="277">
        <f>V20-M20</f>
        <v>3438.1281191750022</v>
      </c>
      <c r="X20" s="280">
        <f>+W20/M20</f>
        <v>2.3129414808745544E-2</v>
      </c>
      <c r="Y20" s="295">
        <f>+M20/C20 *100</f>
        <v>11.635806824363991</v>
      </c>
      <c r="Z20" s="314">
        <f>+V20/C20*100</f>
        <v>11.904936227039139</v>
      </c>
      <c r="AA20" s="313"/>
      <c r="AB20" s="137"/>
      <c r="AC20" s="113"/>
      <c r="AD20" s="113"/>
      <c r="AE20" s="128"/>
      <c r="AF20" s="128"/>
      <c r="AG20" s="136"/>
      <c r="AH20" s="120"/>
      <c r="AJ20" s="136"/>
      <c r="AK20" s="136"/>
      <c r="AL20" s="136"/>
      <c r="AM20" s="136"/>
    </row>
    <row r="21" spans="1:39" x14ac:dyDescent="0.2">
      <c r="A21" s="120">
        <v>10</v>
      </c>
      <c r="B21" s="310">
        <v>5000</v>
      </c>
      <c r="C21" s="128">
        <f>+B21*730*0.6</f>
        <v>2190000</v>
      </c>
      <c r="D21" s="277">
        <f>+$G$26+$B21*$G$27+($C21*$G$30)/100</f>
        <v>94190.099999999991</v>
      </c>
      <c r="E21" s="278">
        <f>+$C21*$G$34/100</f>
        <v>83329.5</v>
      </c>
      <c r="F21" s="278">
        <f>+$B21*$G$37</f>
        <v>3350</v>
      </c>
      <c r="G21" s="278">
        <f>+$B21*$G$38</f>
        <v>850.00000000000011</v>
      </c>
      <c r="H21" s="278">
        <f>+$C21*$G$40/100</f>
        <v>1554.9000000000003</v>
      </c>
      <c r="I21" s="278">
        <f>+$B21*$G$39</f>
        <v>4300</v>
      </c>
      <c r="J21" s="278">
        <f>+$B21*$G$41</f>
        <v>3000</v>
      </c>
      <c r="K21" s="278">
        <f>+$C21*$G$42/100</f>
        <v>0</v>
      </c>
      <c r="L21" s="278">
        <f t="shared" si="0"/>
        <v>4886.5207544999994</v>
      </c>
      <c r="M21" s="278">
        <f>SUM(D21:L21)</f>
        <v>195461.02075449997</v>
      </c>
      <c r="N21" s="277">
        <f>+$L$26+$B21*$L$27+($C21*$L$30)/100</f>
        <v>97952.9</v>
      </c>
      <c r="O21" s="278">
        <f>+$C21*$L$34/100</f>
        <v>83329.5</v>
      </c>
      <c r="P21" s="278">
        <f>+$B21*$L$37</f>
        <v>3350</v>
      </c>
      <c r="Q21" s="278">
        <f>+$B21*$L$38</f>
        <v>850.00000000000011</v>
      </c>
      <c r="R21" s="278">
        <f>+$C21*$L$40/100</f>
        <v>1554.9000000000003</v>
      </c>
      <c r="S21" s="278">
        <f>+$B21*$L$39</f>
        <v>4300</v>
      </c>
      <c r="T21" s="278">
        <f>+$B21*$L$41</f>
        <v>3000</v>
      </c>
      <c r="U21" s="278">
        <f>+SUM(N21:T21)*0.025641</f>
        <v>4983.0027092999999</v>
      </c>
      <c r="V21" s="278">
        <f>SUM(N21:U21)</f>
        <v>199320.30270929998</v>
      </c>
      <c r="W21" s="277">
        <f>+V21-M21</f>
        <v>3859.2819548000116</v>
      </c>
      <c r="X21" s="280">
        <f>+W21/M21</f>
        <v>1.9744509365103999E-2</v>
      </c>
      <c r="Y21" s="295">
        <f>+M21/C21 *100</f>
        <v>8.9251607650456606</v>
      </c>
      <c r="Z21" s="314">
        <f>+V21/C21*100</f>
        <v>9.1013836853561632</v>
      </c>
      <c r="AA21" s="313"/>
      <c r="AB21" s="137"/>
      <c r="AC21" s="113"/>
      <c r="AD21" s="113"/>
      <c r="AE21" s="128"/>
      <c r="AG21" s="288"/>
      <c r="AH21" s="288"/>
      <c r="AJ21" s="278"/>
      <c r="AK21" s="278"/>
      <c r="AL21" s="278"/>
      <c r="AM21" s="278"/>
    </row>
    <row r="22" spans="1:39" x14ac:dyDescent="0.2">
      <c r="A22" s="120">
        <v>11</v>
      </c>
      <c r="B22" s="310">
        <v>5000</v>
      </c>
      <c r="C22" s="128">
        <f>+B22*730*0.9</f>
        <v>3285000</v>
      </c>
      <c r="D22" s="277">
        <f>+$H$26+($B22*$H$28+$B22*$H$29)+$C22/100*$H$31*0.25+$C22/100*$H$32*0.4+$C22/100*$H$33*0.35</f>
        <v>107084.82</v>
      </c>
      <c r="E22" s="278">
        <f>+$C22*$H$35/100*0.25+C22*$H$36/100*0.75</f>
        <v>124517.92500000002</v>
      </c>
      <c r="F22" s="278">
        <f>+$B22*$G$37</f>
        <v>3350</v>
      </c>
      <c r="G22" s="278">
        <f>+$B22*$H$38</f>
        <v>850.00000000000011</v>
      </c>
      <c r="H22" s="278">
        <f>+$C22*$H$40/100</f>
        <v>2332.3500000000004</v>
      </c>
      <c r="I22" s="278">
        <f>+$B22*$H$39</f>
        <v>4300</v>
      </c>
      <c r="J22" s="278">
        <f>+$B22*$H$41</f>
        <v>3000</v>
      </c>
      <c r="K22" s="278">
        <f>+$C22*$G$42/100</f>
        <v>0</v>
      </c>
      <c r="L22" s="278">
        <f t="shared" si="0"/>
        <v>6293.2012708950006</v>
      </c>
      <c r="M22" s="278">
        <f>SUM(D22:L22)</f>
        <v>251728.29627089502</v>
      </c>
      <c r="N22" s="277">
        <f>+$M$26+($B22*$M$28+$B22*$M29)+$C22/100*$M$31*0.25+$C22/100*M32*0.4+$C22/100*M33*0.35</f>
        <v>111313.36499999999</v>
      </c>
      <c r="O22" s="278">
        <f>+$C22*$M$35/100*0.25+C22*$M$36/100*0.75</f>
        <v>124517.92500000002</v>
      </c>
      <c r="P22" s="278">
        <f>+$B22*$L$37</f>
        <v>3350</v>
      </c>
      <c r="Q22" s="278">
        <f>+$B22*$M$38</f>
        <v>850.00000000000011</v>
      </c>
      <c r="R22" s="278">
        <f>+$C22*$M$40/100</f>
        <v>2332.3500000000004</v>
      </c>
      <c r="S22" s="278">
        <f>+$B22*$M$39</f>
        <v>4300</v>
      </c>
      <c r="T22" s="278">
        <f>+$B22*$M$41</f>
        <v>3000</v>
      </c>
      <c r="U22" s="278">
        <f>+SUM(N22:T22)*0.025641</f>
        <v>6401.6253932400004</v>
      </c>
      <c r="V22" s="278">
        <f>SUM(N22:U22)</f>
        <v>256065.26539324003</v>
      </c>
      <c r="W22" s="277">
        <f>V22-M22</f>
        <v>4336.9691223450063</v>
      </c>
      <c r="X22" s="280">
        <f>+W22/M22</f>
        <v>1.7228770808021591E-2</v>
      </c>
      <c r="Y22" s="295">
        <f>+M22/C22 *100</f>
        <v>7.6629618347304422</v>
      </c>
      <c r="Z22" s="314">
        <f>+V22/C22*100</f>
        <v>7.7949852478916295</v>
      </c>
      <c r="AA22" s="313"/>
      <c r="AB22" s="137"/>
      <c r="AC22" s="113"/>
      <c r="AD22" s="113"/>
      <c r="AE22" s="128"/>
      <c r="AF22" s="128"/>
      <c r="AG22" s="288"/>
      <c r="AH22" s="313"/>
      <c r="AI22" s="113"/>
      <c r="AJ22" s="288"/>
      <c r="AK22" s="313"/>
    </row>
    <row r="23" spans="1:39" x14ac:dyDescent="0.2">
      <c r="A23" s="120">
        <v>12</v>
      </c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288"/>
      <c r="Y23" s="280"/>
      <c r="Z23" s="128"/>
      <c r="AA23" s="128"/>
      <c r="AF23" s="128"/>
      <c r="AH23" s="113"/>
      <c r="AI23" s="321"/>
      <c r="AJ23" s="113"/>
      <c r="AK23" s="321"/>
      <c r="AL23" s="321"/>
    </row>
    <row r="24" spans="1:39" x14ac:dyDescent="0.2">
      <c r="A24" s="120">
        <v>13</v>
      </c>
      <c r="G24" s="374" t="s">
        <v>1339</v>
      </c>
      <c r="H24" s="374"/>
      <c r="I24" s="374"/>
      <c r="J24" s="120"/>
      <c r="K24" s="120"/>
      <c r="L24" s="374" t="s">
        <v>1340</v>
      </c>
      <c r="M24" s="374"/>
      <c r="N24" s="374"/>
      <c r="R24" s="113"/>
      <c r="AF24" s="128"/>
      <c r="AH24" s="113"/>
      <c r="AI24" s="321"/>
      <c r="AJ24" s="113"/>
      <c r="AK24" s="321"/>
      <c r="AL24" s="321"/>
    </row>
    <row r="25" spans="1:39" x14ac:dyDescent="0.2">
      <c r="A25" s="120">
        <v>14</v>
      </c>
      <c r="C25" s="120"/>
      <c r="D25" s="120"/>
      <c r="E25" s="120"/>
      <c r="F25" s="120"/>
      <c r="G25" s="120" t="s">
        <v>817</v>
      </c>
      <c r="H25" s="120" t="s">
        <v>1391</v>
      </c>
      <c r="I25" s="120"/>
      <c r="J25" s="120"/>
      <c r="K25" s="120"/>
      <c r="L25" s="120" t="s">
        <v>817</v>
      </c>
      <c r="M25" s="120" t="s">
        <v>1391</v>
      </c>
      <c r="N25" s="113"/>
      <c r="AB25" s="325"/>
      <c r="AC25" s="137"/>
      <c r="AD25" s="113"/>
      <c r="AE25" s="113"/>
      <c r="AF25" s="128"/>
      <c r="AG25" s="128"/>
      <c r="AH25" s="321"/>
      <c r="AI25" s="145"/>
      <c r="AJ25" s="113"/>
      <c r="AK25" s="321"/>
      <c r="AL25" s="321"/>
    </row>
    <row r="26" spans="1:39" x14ac:dyDescent="0.2">
      <c r="A26" s="120">
        <v>15</v>
      </c>
      <c r="C26" s="116" t="s">
        <v>1352</v>
      </c>
      <c r="D26" s="120"/>
      <c r="E26" s="120"/>
      <c r="F26" s="120"/>
      <c r="G26" s="287">
        <f>+ROUND('2027 GSLDPR Rate Class E-13c'!J18,2)*30</f>
        <v>680.7</v>
      </c>
      <c r="H26" s="287">
        <f>+ROUND('2027 GSLDPR Rate Class E-13c'!J19,2)*30</f>
        <v>680.7</v>
      </c>
      <c r="I26" s="116" t="s">
        <v>1353</v>
      </c>
      <c r="J26" s="116"/>
      <c r="K26" s="116"/>
      <c r="L26" s="286">
        <f>+ROUND('2027 GSLDPR Rate Class E-13c'!Q18,2)*30</f>
        <v>708</v>
      </c>
      <c r="M26" s="286">
        <f>+ROUND('2027 GSLDPR Rate Class E-13c'!Q19,2)*30</f>
        <v>708</v>
      </c>
      <c r="N26" s="116" t="s">
        <v>1353</v>
      </c>
      <c r="AC26" s="137"/>
      <c r="AF26" s="128"/>
      <c r="AH26" s="321"/>
      <c r="AI26" s="145"/>
      <c r="AJ26" s="113"/>
      <c r="AK26" s="321"/>
      <c r="AL26" s="321"/>
    </row>
    <row r="27" spans="1:39" x14ac:dyDescent="0.2">
      <c r="A27" s="120">
        <v>16</v>
      </c>
      <c r="C27" s="116" t="s">
        <v>1354</v>
      </c>
      <c r="D27" s="120"/>
      <c r="G27" s="287">
        <f>ROUND(+'2027 GSLDPR Rate Class E-13c'!J30,2)</f>
        <v>13.77</v>
      </c>
      <c r="H27" s="287">
        <v>0</v>
      </c>
      <c r="I27" s="116" t="s">
        <v>1355</v>
      </c>
      <c r="J27" s="116"/>
      <c r="K27" s="116"/>
      <c r="L27" s="286">
        <f>ROUND(+'2027 GSLDPR Rate Class E-13c'!Q30,2)</f>
        <v>14.32</v>
      </c>
      <c r="M27" s="286">
        <v>0</v>
      </c>
      <c r="N27" s="116" t="s">
        <v>1355</v>
      </c>
      <c r="S27" s="288"/>
      <c r="T27" s="288"/>
      <c r="U27" s="288"/>
      <c r="V27" s="288"/>
      <c r="W27" s="288"/>
      <c r="X27" s="128"/>
      <c r="Y27" s="280"/>
      <c r="Z27" s="128"/>
      <c r="AA27" s="128"/>
      <c r="AF27" s="128"/>
      <c r="AH27" s="113"/>
      <c r="AI27" s="113"/>
      <c r="AJ27" s="113"/>
      <c r="AK27" s="321"/>
      <c r="AL27" s="321"/>
    </row>
    <row r="28" spans="1:39" x14ac:dyDescent="0.2">
      <c r="A28" s="120">
        <v>17</v>
      </c>
      <c r="C28" s="116" t="s">
        <v>1392</v>
      </c>
      <c r="D28" s="120"/>
      <c r="G28" s="287">
        <v>0</v>
      </c>
      <c r="H28" s="287">
        <f>ROUND(+'2027 GSLDPR Rate Class E-13c'!J31,2)</f>
        <v>3.1</v>
      </c>
      <c r="I28" s="116" t="s">
        <v>1355</v>
      </c>
      <c r="J28" s="116"/>
      <c r="K28" s="116"/>
      <c r="L28" s="286">
        <v>0</v>
      </c>
      <c r="M28" s="286">
        <f>+ROUND('2027 GSLDPR Rate Class E-13c'!Q31,2)</f>
        <v>3.22</v>
      </c>
      <c r="N28" s="116" t="s">
        <v>1355</v>
      </c>
      <c r="S28" s="288"/>
      <c r="T28" s="288"/>
      <c r="U28" s="288"/>
      <c r="V28" s="288"/>
      <c r="W28" s="288"/>
      <c r="X28" s="128"/>
      <c r="Y28" s="280"/>
      <c r="Z28" s="128"/>
      <c r="AA28" s="128"/>
      <c r="AF28" s="128"/>
      <c r="AH28" s="113"/>
      <c r="AI28" s="113"/>
      <c r="AJ28" s="113"/>
      <c r="AK28" s="321"/>
      <c r="AL28" s="321"/>
    </row>
    <row r="29" spans="1:39" x14ac:dyDescent="0.2">
      <c r="A29" s="120">
        <v>18</v>
      </c>
      <c r="C29" s="116" t="s">
        <v>1393</v>
      </c>
      <c r="D29" s="120"/>
      <c r="G29" s="287">
        <v>0</v>
      </c>
      <c r="H29" s="287">
        <f>ROUND(+'2027 GSLDPR Rate Class E-13c'!J32,2)</f>
        <v>10.67</v>
      </c>
      <c r="I29" s="116" t="s">
        <v>1355</v>
      </c>
      <c r="J29" s="116"/>
      <c r="K29" s="116"/>
      <c r="L29" s="286">
        <v>0</v>
      </c>
      <c r="M29" s="286">
        <f>+ROUND('2027 GSLDPR Rate Class E-13c'!Q32,2)</f>
        <v>11.09</v>
      </c>
      <c r="N29" s="116" t="s">
        <v>1355</v>
      </c>
      <c r="S29" s="288"/>
      <c r="T29" s="288"/>
      <c r="U29" s="288"/>
      <c r="V29" s="288"/>
      <c r="W29" s="288"/>
      <c r="X29" s="128"/>
      <c r="Y29" s="280"/>
      <c r="Z29" s="128"/>
      <c r="AA29" s="128"/>
      <c r="AF29" s="128"/>
      <c r="AH29" s="113"/>
      <c r="AI29" s="113"/>
      <c r="AJ29" s="113"/>
      <c r="AK29" s="321"/>
      <c r="AL29" s="321"/>
    </row>
    <row r="30" spans="1:39" x14ac:dyDescent="0.2">
      <c r="A30" s="120">
        <v>19</v>
      </c>
      <c r="C30" s="116" t="s">
        <v>1356</v>
      </c>
      <c r="D30" s="120"/>
      <c r="G30" s="301">
        <f>+ROUND('2027 GSLDPR Rate Class E-13c'!J23,5)*100</f>
        <v>1.1259999999999999</v>
      </c>
      <c r="H30" s="287">
        <v>0</v>
      </c>
      <c r="I30" s="116" t="s">
        <v>1358</v>
      </c>
      <c r="J30" s="116"/>
      <c r="K30" s="116"/>
      <c r="L30" s="289">
        <f>+ROUND('2027 GSLDPR Rate Class E-13c'!Q23,5)*100</f>
        <v>1.171</v>
      </c>
      <c r="M30" s="286">
        <v>0</v>
      </c>
      <c r="N30" s="116" t="s">
        <v>1358</v>
      </c>
      <c r="S30" s="288"/>
      <c r="T30" s="288"/>
      <c r="U30" s="288"/>
      <c r="V30" s="288"/>
      <c r="W30" s="288"/>
      <c r="X30" s="128"/>
      <c r="Y30" s="280"/>
      <c r="Z30" s="128"/>
      <c r="AA30" s="128"/>
      <c r="AF30" s="128"/>
      <c r="AH30" s="113"/>
      <c r="AI30" s="113"/>
      <c r="AJ30" s="113"/>
      <c r="AK30" s="321"/>
      <c r="AL30" s="321"/>
    </row>
    <row r="31" spans="1:39" x14ac:dyDescent="0.2">
      <c r="A31" s="120">
        <v>20</v>
      </c>
      <c r="B31" s="310"/>
      <c r="C31" s="290" t="s">
        <v>1378</v>
      </c>
      <c r="D31" s="120"/>
      <c r="G31" s="301">
        <v>0</v>
      </c>
      <c r="H31" s="301">
        <f>+ROUND('2027 GSLDPR Rate Class E-13c'!J24,5)*100</f>
        <v>1.8360000000000001</v>
      </c>
      <c r="I31" s="116" t="s">
        <v>1358</v>
      </c>
      <c r="J31" s="116"/>
      <c r="K31" s="116"/>
      <c r="L31" s="286">
        <v>0</v>
      </c>
      <c r="M31" s="289">
        <f>+ROUND('2027 GSLDPR Rate Class E-13c'!Q24,5)*100</f>
        <v>1.909</v>
      </c>
      <c r="N31" s="116" t="s">
        <v>1358</v>
      </c>
      <c r="S31" s="288"/>
      <c r="T31" s="288"/>
      <c r="U31" s="288"/>
      <c r="V31" s="288"/>
      <c r="W31" s="288"/>
      <c r="X31" s="288"/>
      <c r="Y31" s="280"/>
      <c r="Z31" s="288"/>
      <c r="AA31" s="307"/>
      <c r="AC31" s="137"/>
      <c r="AD31" s="113"/>
      <c r="AE31" s="113"/>
      <c r="AF31" s="128"/>
      <c r="AG31" s="128"/>
      <c r="AH31" s="145"/>
      <c r="AI31" s="321"/>
      <c r="AK31" s="145"/>
      <c r="AL31" s="321"/>
    </row>
    <row r="32" spans="1:39" x14ac:dyDescent="0.2">
      <c r="A32" s="120">
        <v>21</v>
      </c>
      <c r="B32" s="310"/>
      <c r="C32" s="290" t="s">
        <v>1379</v>
      </c>
      <c r="D32" s="120"/>
      <c r="G32" s="301">
        <v>0</v>
      </c>
      <c r="H32" s="301">
        <f>+ROUND('2027 GSLDPR Rate Class E-13c'!J25,5)*100</f>
        <v>1.119</v>
      </c>
      <c r="I32" s="116" t="s">
        <v>1358</v>
      </c>
      <c r="J32" s="116"/>
      <c r="K32" s="116"/>
      <c r="L32" s="289">
        <v>0</v>
      </c>
      <c r="M32" s="289">
        <f>+ROUND('2027 GSLDPR Rate Class E-13c'!Q25,5)*100</f>
        <v>1.1639999999999999</v>
      </c>
      <c r="N32" s="116" t="s">
        <v>1358</v>
      </c>
      <c r="S32" s="288"/>
      <c r="T32" s="288"/>
      <c r="U32" s="288"/>
      <c r="V32" s="288"/>
      <c r="W32" s="288"/>
      <c r="X32" s="288"/>
      <c r="Y32" s="280"/>
      <c r="Z32" s="288"/>
      <c r="AA32" s="307"/>
      <c r="AC32" s="137"/>
      <c r="AD32" s="113"/>
      <c r="AE32" s="113"/>
      <c r="AF32" s="128"/>
      <c r="AG32" s="128"/>
      <c r="AH32" s="145"/>
      <c r="AI32" s="321"/>
      <c r="AK32" s="145"/>
      <c r="AL32" s="321"/>
    </row>
    <row r="33" spans="1:38" x14ac:dyDescent="0.2">
      <c r="A33" s="120">
        <v>22</v>
      </c>
      <c r="B33" s="310"/>
      <c r="C33" s="290" t="s">
        <v>1380</v>
      </c>
      <c r="G33" s="301">
        <v>0</v>
      </c>
      <c r="H33" s="301">
        <f>+ROUND('2027 GSLDPR Rate Class E-13c'!J26,5)*100</f>
        <v>0.67600000000000005</v>
      </c>
      <c r="I33" s="116" t="s">
        <v>1358</v>
      </c>
      <c r="L33" s="286">
        <v>0</v>
      </c>
      <c r="M33" s="289">
        <f>+ROUND('2027 GSLDPR Rate Class E-13c'!Q26,5)*100</f>
        <v>0.70299999999999996</v>
      </c>
      <c r="N33" s="116" t="s">
        <v>1358</v>
      </c>
      <c r="S33" s="288"/>
      <c r="T33" s="288"/>
      <c r="U33" s="288"/>
      <c r="V33" s="288"/>
      <c r="W33" s="288"/>
      <c r="X33" s="288"/>
      <c r="Y33" s="280"/>
      <c r="Z33" s="288"/>
      <c r="AA33" s="307"/>
      <c r="AF33" s="128"/>
      <c r="AH33" s="145"/>
      <c r="AI33" s="321"/>
      <c r="AK33" s="145"/>
      <c r="AL33" s="321"/>
    </row>
    <row r="34" spans="1:38" x14ac:dyDescent="0.2">
      <c r="A34" s="120">
        <v>23</v>
      </c>
      <c r="B34" s="310"/>
      <c r="C34" s="116" t="s">
        <v>1372</v>
      </c>
      <c r="D34" s="120"/>
      <c r="G34" s="145">
        <f>0.03805*100</f>
        <v>3.8050000000000002</v>
      </c>
      <c r="H34" s="145">
        <v>0</v>
      </c>
      <c r="I34" s="116" t="s">
        <v>1358</v>
      </c>
      <c r="J34" s="116"/>
      <c r="K34" s="116"/>
      <c r="L34" s="145">
        <f>+G34</f>
        <v>3.8050000000000002</v>
      </c>
      <c r="M34" s="145">
        <f>+H34</f>
        <v>0</v>
      </c>
      <c r="N34" s="116" t="s">
        <v>1358</v>
      </c>
      <c r="S34" s="288"/>
      <c r="T34" s="288"/>
      <c r="U34" s="288"/>
      <c r="V34" s="288"/>
      <c r="W34" s="288"/>
      <c r="X34" s="288"/>
      <c r="Y34" s="280"/>
      <c r="Z34" s="288"/>
      <c r="AA34" s="307"/>
      <c r="AF34" s="128"/>
      <c r="AH34" s="145"/>
      <c r="AI34" s="321"/>
      <c r="AK34" s="145"/>
      <c r="AL34" s="321"/>
    </row>
    <row r="35" spans="1:38" x14ac:dyDescent="0.2">
      <c r="A35" s="120">
        <v>24</v>
      </c>
      <c r="B35" s="310"/>
      <c r="C35" s="290" t="s">
        <v>1378</v>
      </c>
      <c r="G35" s="145">
        <v>0</v>
      </c>
      <c r="H35" s="145">
        <f>0.04005*100</f>
        <v>4.0049999999999999</v>
      </c>
      <c r="I35" s="116" t="s">
        <v>1358</v>
      </c>
      <c r="J35" s="116"/>
      <c r="K35" s="116"/>
      <c r="L35" s="145">
        <f t="shared" ref="L35:M41" si="1">+G35</f>
        <v>0</v>
      </c>
      <c r="M35" s="145">
        <f t="shared" si="1"/>
        <v>4.0049999999999999</v>
      </c>
      <c r="N35" s="116" t="s">
        <v>1358</v>
      </c>
      <c r="S35" s="128"/>
      <c r="T35" s="128"/>
      <c r="U35" s="128"/>
      <c r="V35" s="128"/>
      <c r="W35" s="128"/>
      <c r="X35" s="128"/>
      <c r="Y35" s="280"/>
      <c r="Z35" s="128"/>
      <c r="AA35" s="128"/>
      <c r="AC35" s="137"/>
      <c r="AD35" s="113"/>
      <c r="AE35" s="113"/>
      <c r="AF35" s="128"/>
      <c r="AG35" s="128"/>
      <c r="AH35" s="313"/>
      <c r="AI35" s="313"/>
      <c r="AK35" s="313"/>
      <c r="AL35" s="313"/>
    </row>
    <row r="36" spans="1:38" x14ac:dyDescent="0.2">
      <c r="A36" s="120">
        <v>25</v>
      </c>
      <c r="B36" s="310"/>
      <c r="C36" s="290" t="s">
        <v>1379</v>
      </c>
      <c r="G36" s="145">
        <v>0</v>
      </c>
      <c r="H36" s="145">
        <f>0.03719*100</f>
        <v>3.7190000000000003</v>
      </c>
      <c r="I36" s="116" t="s">
        <v>1358</v>
      </c>
      <c r="J36" s="116"/>
      <c r="K36" s="116"/>
      <c r="L36" s="145">
        <f t="shared" si="1"/>
        <v>0</v>
      </c>
      <c r="M36" s="145">
        <f t="shared" si="1"/>
        <v>3.7190000000000003</v>
      </c>
      <c r="N36" s="116" t="s">
        <v>1358</v>
      </c>
      <c r="S36" s="288"/>
      <c r="T36" s="288"/>
      <c r="U36" s="288"/>
      <c r="V36" s="288"/>
      <c r="W36" s="288"/>
      <c r="X36" s="288"/>
      <c r="Y36" s="280"/>
      <c r="Z36" s="288"/>
      <c r="AA36" s="307"/>
      <c r="AC36" s="137"/>
      <c r="AD36" s="113"/>
      <c r="AE36" s="113"/>
      <c r="AF36" s="128"/>
      <c r="AG36" s="128"/>
      <c r="AH36" s="313"/>
      <c r="AI36" s="313"/>
      <c r="AK36" s="313"/>
      <c r="AL36" s="313"/>
    </row>
    <row r="37" spans="1:38" x14ac:dyDescent="0.2">
      <c r="A37" s="120">
        <v>26</v>
      </c>
      <c r="B37" s="310"/>
      <c r="C37" s="116" t="s">
        <v>1361</v>
      </c>
      <c r="D37" s="120"/>
      <c r="G37" s="288">
        <v>0.67</v>
      </c>
      <c r="H37" s="288">
        <v>0.67</v>
      </c>
      <c r="I37" s="116" t="s">
        <v>1355</v>
      </c>
      <c r="J37" s="116"/>
      <c r="K37" s="116"/>
      <c r="L37" s="288">
        <f t="shared" si="1"/>
        <v>0.67</v>
      </c>
      <c r="M37" s="288">
        <f t="shared" si="1"/>
        <v>0.67</v>
      </c>
      <c r="N37" s="116" t="s">
        <v>1355</v>
      </c>
      <c r="S37" s="288"/>
      <c r="T37" s="288"/>
      <c r="U37" s="288"/>
      <c r="V37" s="288"/>
      <c r="W37" s="288"/>
      <c r="X37" s="288"/>
      <c r="Y37" s="280"/>
      <c r="Z37" s="288"/>
      <c r="AA37" s="307"/>
      <c r="AC37" s="137"/>
      <c r="AD37" s="113"/>
      <c r="AE37" s="113"/>
      <c r="AF37" s="128"/>
      <c r="AG37" s="128"/>
      <c r="AH37" s="145"/>
      <c r="AI37" s="145"/>
      <c r="AK37" s="145"/>
      <c r="AL37" s="145"/>
    </row>
    <row r="38" spans="1:38" x14ac:dyDescent="0.2">
      <c r="A38" s="120">
        <v>27</v>
      </c>
      <c r="B38" s="310"/>
      <c r="C38" s="116" t="s">
        <v>1362</v>
      </c>
      <c r="D38" s="120"/>
      <c r="G38" s="288">
        <v>0.17</v>
      </c>
      <c r="H38" s="288">
        <v>0.17</v>
      </c>
      <c r="I38" s="116" t="s">
        <v>1355</v>
      </c>
      <c r="J38" s="116"/>
      <c r="K38" s="116"/>
      <c r="L38" s="288">
        <f t="shared" si="1"/>
        <v>0.17</v>
      </c>
      <c r="M38" s="288">
        <f t="shared" si="1"/>
        <v>0.17</v>
      </c>
      <c r="N38" s="116" t="s">
        <v>1355</v>
      </c>
      <c r="S38" s="288"/>
      <c r="T38" s="288"/>
      <c r="U38" s="288"/>
      <c r="V38" s="288"/>
      <c r="W38" s="288"/>
      <c r="X38" s="288"/>
      <c r="Y38" s="280"/>
      <c r="Z38" s="288"/>
      <c r="AA38" s="307"/>
      <c r="AH38" s="113"/>
      <c r="AI38" s="113"/>
      <c r="AJ38" s="113"/>
      <c r="AK38" s="313"/>
      <c r="AL38" s="313"/>
    </row>
    <row r="39" spans="1:38" x14ac:dyDescent="0.2">
      <c r="A39" s="120">
        <v>28</v>
      </c>
      <c r="B39" s="310"/>
      <c r="C39" s="116" t="s">
        <v>1363</v>
      </c>
      <c r="D39" s="120"/>
      <c r="G39" s="288">
        <v>0.86</v>
      </c>
      <c r="H39" s="288">
        <v>0.86</v>
      </c>
      <c r="I39" s="116" t="s">
        <v>1355</v>
      </c>
      <c r="J39" s="116"/>
      <c r="K39" s="116"/>
      <c r="L39" s="288">
        <f t="shared" si="1"/>
        <v>0.86</v>
      </c>
      <c r="M39" s="288">
        <f t="shared" si="1"/>
        <v>0.86</v>
      </c>
      <c r="N39" s="116" t="s">
        <v>1355</v>
      </c>
      <c r="S39" s="288"/>
      <c r="T39" s="288"/>
      <c r="U39" s="288"/>
      <c r="V39" s="288"/>
      <c r="W39" s="288"/>
      <c r="X39" s="288"/>
      <c r="Y39" s="280"/>
      <c r="Z39" s="288"/>
      <c r="AA39" s="307"/>
      <c r="AH39" s="113"/>
      <c r="AI39" s="113"/>
      <c r="AJ39" s="113"/>
      <c r="AK39" s="313"/>
      <c r="AL39" s="313"/>
    </row>
    <row r="40" spans="1:38" x14ac:dyDescent="0.2">
      <c r="A40" s="120">
        <v>29</v>
      </c>
      <c r="C40" s="116" t="s">
        <v>1364</v>
      </c>
      <c r="D40" s="120"/>
      <c r="G40" s="145">
        <f>0.00071*100</f>
        <v>7.1000000000000008E-2</v>
      </c>
      <c r="H40" s="145">
        <f>0.00071*100</f>
        <v>7.1000000000000008E-2</v>
      </c>
      <c r="I40" s="116" t="s">
        <v>1358</v>
      </c>
      <c r="J40" s="116"/>
      <c r="K40" s="116"/>
      <c r="L40" s="145">
        <f t="shared" si="1"/>
        <v>7.1000000000000008E-2</v>
      </c>
      <c r="M40" s="145">
        <f t="shared" si="1"/>
        <v>7.1000000000000008E-2</v>
      </c>
      <c r="N40" s="116" t="s">
        <v>1358</v>
      </c>
      <c r="X40" s="128"/>
      <c r="Y40" s="128"/>
      <c r="Z40" s="128"/>
      <c r="AA40" s="128"/>
      <c r="AC40" s="137"/>
      <c r="AD40" s="113"/>
      <c r="AE40" s="113"/>
      <c r="AF40" s="291"/>
      <c r="AH40" s="291"/>
      <c r="AI40" s="291"/>
      <c r="AK40" s="291"/>
      <c r="AL40" s="291"/>
    </row>
    <row r="41" spans="1:38" x14ac:dyDescent="0.2">
      <c r="A41" s="120">
        <v>30</v>
      </c>
      <c r="B41" s="310"/>
      <c r="C41" s="116" t="s">
        <v>1365</v>
      </c>
      <c r="D41" s="120"/>
      <c r="G41" s="313">
        <v>0.6</v>
      </c>
      <c r="H41" s="313">
        <v>0.6</v>
      </c>
      <c r="I41" s="116" t="s">
        <v>1355</v>
      </c>
      <c r="J41" s="116"/>
      <c r="K41" s="116"/>
      <c r="L41" s="313">
        <f t="shared" si="1"/>
        <v>0.6</v>
      </c>
      <c r="M41" s="313">
        <f t="shared" si="1"/>
        <v>0.6</v>
      </c>
      <c r="N41" s="116" t="s">
        <v>1355</v>
      </c>
      <c r="S41" s="288"/>
      <c r="T41" s="288"/>
      <c r="U41" s="288"/>
      <c r="V41" s="288"/>
      <c r="W41" s="288"/>
      <c r="X41" s="288"/>
      <c r="Y41" s="280"/>
      <c r="Z41" s="288"/>
      <c r="AA41" s="307"/>
      <c r="AC41" s="137"/>
      <c r="AK41" s="278"/>
      <c r="AL41" s="278"/>
    </row>
    <row r="42" spans="1:38" x14ac:dyDescent="0.2">
      <c r="A42" s="120">
        <v>31</v>
      </c>
      <c r="B42" s="310"/>
      <c r="C42" s="113" t="s">
        <v>1366</v>
      </c>
      <c r="G42" s="289">
        <v>0</v>
      </c>
      <c r="H42" s="289">
        <v>0</v>
      </c>
      <c r="I42" s="113" t="s">
        <v>1358</v>
      </c>
      <c r="J42" s="113"/>
      <c r="K42" s="113"/>
      <c r="L42" s="286"/>
      <c r="M42" s="286"/>
      <c r="N42" s="113"/>
      <c r="S42" s="288"/>
      <c r="T42" s="288"/>
      <c r="U42" s="288"/>
      <c r="V42" s="288"/>
      <c r="W42" s="288"/>
      <c r="X42" s="288"/>
      <c r="Y42" s="280"/>
      <c r="Z42" s="288"/>
      <c r="AA42" s="307"/>
    </row>
    <row r="43" spans="1:38" x14ac:dyDescent="0.2">
      <c r="A43" s="120">
        <v>32</v>
      </c>
      <c r="B43" s="310"/>
      <c r="S43" s="288"/>
      <c r="T43" s="288"/>
      <c r="U43" s="288"/>
      <c r="V43" s="288"/>
      <c r="W43" s="288"/>
      <c r="X43" s="288"/>
      <c r="Y43" s="280"/>
      <c r="Z43" s="288"/>
      <c r="AA43" s="307"/>
    </row>
    <row r="44" spans="1:38" x14ac:dyDescent="0.2">
      <c r="A44" s="120">
        <v>33</v>
      </c>
      <c r="C44" s="128" t="s">
        <v>1381</v>
      </c>
      <c r="X44" s="128"/>
      <c r="Y44" s="128"/>
      <c r="Z44" s="128"/>
      <c r="AA44" s="128"/>
      <c r="AH44" s="326"/>
    </row>
    <row r="45" spans="1:38" x14ac:dyDescent="0.2">
      <c r="A45" s="120">
        <v>34</v>
      </c>
      <c r="C45" s="128" t="s">
        <v>1394</v>
      </c>
      <c r="X45" s="128"/>
      <c r="Y45" s="128"/>
      <c r="Z45" s="128"/>
      <c r="AA45" s="128"/>
      <c r="AH45" s="312"/>
    </row>
    <row r="46" spans="1:38" x14ac:dyDescent="0.2">
      <c r="A46" s="120">
        <v>35</v>
      </c>
      <c r="B46" s="276"/>
      <c r="C46" s="128" t="s">
        <v>1395</v>
      </c>
      <c r="S46" s="128"/>
      <c r="T46" s="128"/>
      <c r="U46" s="128"/>
      <c r="V46" s="128"/>
      <c r="W46" s="128"/>
      <c r="X46" s="128"/>
      <c r="Y46" s="128"/>
      <c r="Z46" s="128"/>
      <c r="AA46" s="128"/>
    </row>
    <row r="47" spans="1:38" x14ac:dyDescent="0.2">
      <c r="A47" s="120">
        <v>36</v>
      </c>
      <c r="B47" s="276"/>
      <c r="C47" s="128" t="s">
        <v>1396</v>
      </c>
      <c r="T47" s="128"/>
      <c r="U47" s="128"/>
      <c r="V47" s="128"/>
      <c r="W47" s="128"/>
      <c r="X47" s="128"/>
      <c r="Y47" s="128"/>
      <c r="Z47" s="128"/>
      <c r="AA47" s="128"/>
      <c r="AH47" s="312"/>
    </row>
    <row r="48" spans="1:38" x14ac:dyDescent="0.2">
      <c r="A48" s="120">
        <v>37</v>
      </c>
      <c r="B48" s="276"/>
      <c r="C48" s="128" t="s">
        <v>1397</v>
      </c>
      <c r="T48" s="128"/>
      <c r="U48" s="128"/>
      <c r="V48" s="128"/>
      <c r="W48" s="128"/>
      <c r="X48" s="128"/>
      <c r="Y48" s="128"/>
      <c r="Z48" s="128"/>
      <c r="AA48" s="128"/>
      <c r="AH48" s="312"/>
      <c r="AI48" s="312"/>
    </row>
    <row r="49" spans="1:35" x14ac:dyDescent="0.2">
      <c r="A49" s="120">
        <v>38</v>
      </c>
      <c r="B49" s="276"/>
      <c r="C49" s="128" t="s">
        <v>1398</v>
      </c>
      <c r="T49" s="128"/>
      <c r="U49" s="128"/>
      <c r="V49" s="128"/>
      <c r="W49" s="128"/>
      <c r="X49" s="128"/>
      <c r="Y49" s="128"/>
      <c r="Z49" s="128"/>
      <c r="AA49" s="128"/>
      <c r="AI49" s="312"/>
    </row>
    <row r="50" spans="1:35" x14ac:dyDescent="0.2">
      <c r="A50" s="120">
        <v>39</v>
      </c>
      <c r="B50" s="276"/>
      <c r="O50" s="128"/>
      <c r="P50" s="128"/>
      <c r="Q50" s="128"/>
      <c r="T50" s="128"/>
      <c r="U50" s="128"/>
      <c r="V50" s="128"/>
      <c r="W50" s="128"/>
      <c r="X50" s="128"/>
      <c r="Y50" s="128"/>
      <c r="Z50" s="128"/>
      <c r="AA50" s="128"/>
    </row>
    <row r="51" spans="1:35" x14ac:dyDescent="0.2">
      <c r="A51" s="120">
        <v>40</v>
      </c>
      <c r="B51" s="113"/>
      <c r="O51" s="126"/>
      <c r="P51" s="126"/>
      <c r="Q51" s="128"/>
      <c r="T51" s="126"/>
      <c r="U51" s="126"/>
      <c r="V51" s="126"/>
      <c r="W51" s="126"/>
      <c r="X51" s="126"/>
      <c r="Y51" s="126"/>
      <c r="Z51" s="126"/>
      <c r="AA51" s="126"/>
    </row>
    <row r="52" spans="1:35" x14ac:dyDescent="0.2">
      <c r="A52" s="120">
        <v>41</v>
      </c>
      <c r="B52" s="113"/>
      <c r="C52" s="128"/>
      <c r="O52" s="126"/>
      <c r="P52" s="126"/>
      <c r="Q52" s="128"/>
      <c r="T52" s="126"/>
      <c r="U52" s="126"/>
      <c r="V52" s="126"/>
      <c r="W52" s="126"/>
      <c r="X52" s="126"/>
      <c r="Y52" s="126"/>
      <c r="Z52" s="126"/>
      <c r="AA52" s="126"/>
    </row>
    <row r="53" spans="1:35" ht="13.5" thickBot="1" x14ac:dyDescent="0.25">
      <c r="A53" s="118">
        <v>42</v>
      </c>
      <c r="B53" s="114"/>
      <c r="C53" s="264"/>
      <c r="D53" s="264"/>
      <c r="E53" s="264"/>
      <c r="F53" s="26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264"/>
    </row>
    <row r="54" spans="1:35" x14ac:dyDescent="0.2">
      <c r="A54" s="113" t="s">
        <v>1368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 t="s">
        <v>1369</v>
      </c>
      <c r="Y54" s="113"/>
      <c r="Z54" s="113"/>
    </row>
    <row r="55" spans="1:35" ht="13.5" thickBot="1" x14ac:dyDescent="0.25">
      <c r="A55" s="114" t="s">
        <v>1295</v>
      </c>
      <c r="B55" s="114"/>
      <c r="C55" s="114"/>
      <c r="D55" s="114"/>
      <c r="E55" s="114"/>
      <c r="F55" s="114"/>
      <c r="G55" s="114"/>
      <c r="H55" s="114"/>
      <c r="I55" s="114"/>
      <c r="J55" s="114" t="s">
        <v>1296</v>
      </c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376" t="s">
        <v>1399</v>
      </c>
      <c r="Z55" s="376"/>
      <c r="AA55" s="264"/>
      <c r="AB55" s="264"/>
    </row>
    <row r="56" spans="1:35" x14ac:dyDescent="0.2">
      <c r="A56" s="113" t="s">
        <v>307</v>
      </c>
      <c r="B56" s="113"/>
      <c r="C56" s="113"/>
      <c r="D56" s="113"/>
      <c r="E56" s="113"/>
      <c r="F56" s="113"/>
      <c r="G56" s="113" t="s">
        <v>1298</v>
      </c>
      <c r="H56" s="113"/>
      <c r="I56" s="113"/>
      <c r="J56" s="113" t="s">
        <v>1299</v>
      </c>
      <c r="K56" s="113"/>
      <c r="L56" s="113"/>
      <c r="M56" s="116"/>
      <c r="N56" s="116"/>
      <c r="O56" s="116"/>
      <c r="P56" s="113"/>
      <c r="Q56" s="116"/>
      <c r="R56" s="116"/>
      <c r="S56" s="116"/>
      <c r="T56" s="116"/>
      <c r="U56" s="116"/>
      <c r="V56" s="116"/>
      <c r="W56" s="115" t="s">
        <v>845</v>
      </c>
      <c r="X56" s="113"/>
      <c r="Y56" s="113"/>
      <c r="Z56" s="116"/>
    </row>
    <row r="57" spans="1:35" x14ac:dyDescent="0.2">
      <c r="A57" s="113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7"/>
      <c r="N57" s="116"/>
      <c r="O57" s="116"/>
      <c r="P57" s="113"/>
      <c r="Q57" s="113"/>
      <c r="R57" s="113"/>
      <c r="S57" s="113"/>
      <c r="T57" s="113"/>
      <c r="U57" s="113"/>
      <c r="V57" s="117"/>
      <c r="W57" s="117" t="s">
        <v>916</v>
      </c>
      <c r="X57" s="116" t="s">
        <v>1512</v>
      </c>
      <c r="Y57" s="113"/>
      <c r="Z57" s="117"/>
    </row>
    <row r="58" spans="1:35" x14ac:dyDescent="0.2">
      <c r="A58" s="113" t="s">
        <v>310</v>
      </c>
      <c r="B58" s="113"/>
      <c r="C58" s="113"/>
      <c r="D58" s="113"/>
      <c r="E58" s="113"/>
      <c r="F58" s="113"/>
      <c r="G58" s="113"/>
      <c r="H58" s="113"/>
      <c r="I58" s="113"/>
      <c r="J58" s="113"/>
      <c r="K58" s="113"/>
      <c r="L58" s="113"/>
      <c r="M58" s="117"/>
      <c r="N58" s="116"/>
      <c r="O58" s="116"/>
      <c r="P58" s="117"/>
      <c r="Q58" s="113"/>
      <c r="R58" s="113"/>
      <c r="S58" s="113"/>
      <c r="T58" s="113"/>
      <c r="U58" s="113"/>
      <c r="V58" s="113"/>
      <c r="X58" s="116"/>
      <c r="Y58" s="113"/>
      <c r="Z58" s="117"/>
    </row>
    <row r="59" spans="1:35" x14ac:dyDescent="0.2">
      <c r="A59" s="113"/>
      <c r="B59" s="113"/>
      <c r="C59" s="113"/>
      <c r="D59" s="113"/>
      <c r="E59" s="113"/>
      <c r="F59" s="113"/>
      <c r="G59" s="113"/>
      <c r="H59" s="372" t="s">
        <v>1400</v>
      </c>
      <c r="I59" s="372"/>
      <c r="J59" s="372"/>
      <c r="K59" s="372"/>
      <c r="L59" s="372"/>
      <c r="M59" s="372"/>
      <c r="N59" s="372"/>
      <c r="O59" s="372"/>
      <c r="P59" s="372"/>
      <c r="Q59" s="372"/>
      <c r="R59" s="372"/>
      <c r="S59" s="113"/>
      <c r="T59" s="113"/>
      <c r="U59" s="113"/>
      <c r="V59" s="113"/>
      <c r="X59" s="116"/>
      <c r="Y59" s="113"/>
      <c r="Z59" s="117"/>
    </row>
    <row r="60" spans="1:35" ht="13.5" thickBot="1" x14ac:dyDescent="0.25">
      <c r="A60" s="114" t="s">
        <v>1520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8"/>
      <c r="N60" s="114"/>
      <c r="O60" s="114"/>
      <c r="P60" s="114"/>
      <c r="Q60" s="114"/>
      <c r="R60" s="114"/>
      <c r="S60" s="114"/>
      <c r="T60" s="114"/>
      <c r="U60" s="114"/>
      <c r="V60" s="114"/>
      <c r="W60" s="264"/>
      <c r="X60" s="114" t="s">
        <v>1519</v>
      </c>
      <c r="Y60" s="114"/>
      <c r="Z60" s="114"/>
      <c r="AA60" s="264"/>
      <c r="AB60" s="264"/>
    </row>
    <row r="61" spans="1:35" x14ac:dyDescent="0.2">
      <c r="A61" s="113"/>
      <c r="B61" s="373" t="s">
        <v>1301</v>
      </c>
      <c r="C61" s="373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  <c r="Z61" s="119"/>
    </row>
    <row r="62" spans="1:35" x14ac:dyDescent="0.2">
      <c r="A62" s="113"/>
      <c r="B62" s="374" t="s">
        <v>452</v>
      </c>
      <c r="C62" s="374"/>
      <c r="D62" s="375" t="s">
        <v>1302</v>
      </c>
      <c r="E62" s="375"/>
      <c r="F62" s="375"/>
      <c r="G62" s="375"/>
      <c r="H62" s="375"/>
      <c r="I62" s="375"/>
      <c r="J62" s="375"/>
      <c r="K62" s="375"/>
      <c r="L62" s="375"/>
      <c r="M62" s="375"/>
      <c r="N62" s="375" t="s">
        <v>1303</v>
      </c>
      <c r="O62" s="375"/>
      <c r="P62" s="375"/>
      <c r="Q62" s="375"/>
      <c r="R62" s="375"/>
      <c r="S62" s="375"/>
      <c r="T62" s="375"/>
      <c r="U62" s="375"/>
      <c r="V62" s="375"/>
      <c r="W62" s="375" t="s">
        <v>1304</v>
      </c>
      <c r="X62" s="375"/>
      <c r="Y62" s="375" t="s">
        <v>1305</v>
      </c>
      <c r="Z62" s="375"/>
    </row>
    <row r="63" spans="1:35" x14ac:dyDescent="0.2">
      <c r="A63" s="113"/>
      <c r="B63" s="120" t="s">
        <v>846</v>
      </c>
      <c r="C63" s="120" t="s">
        <v>847</v>
      </c>
      <c r="D63" s="267" t="s">
        <v>848</v>
      </c>
      <c r="E63" s="120" t="s">
        <v>849</v>
      </c>
      <c r="F63" s="120" t="s">
        <v>1306</v>
      </c>
      <c r="G63" s="119" t="s">
        <v>1307</v>
      </c>
      <c r="H63" s="119" t="s">
        <v>1308</v>
      </c>
      <c r="I63" s="119" t="s">
        <v>1309</v>
      </c>
      <c r="J63" s="119" t="s">
        <v>1310</v>
      </c>
      <c r="K63" s="268" t="s">
        <v>1311</v>
      </c>
      <c r="L63" s="268" t="s">
        <v>1312</v>
      </c>
      <c r="M63" s="269" t="s">
        <v>1313</v>
      </c>
      <c r="N63" s="119" t="s">
        <v>1314</v>
      </c>
      <c r="O63" s="119" t="s">
        <v>1315</v>
      </c>
      <c r="P63" s="119" t="s">
        <v>1316</v>
      </c>
      <c r="Q63" s="119" t="s">
        <v>1317</v>
      </c>
      <c r="R63" s="119" t="s">
        <v>1318</v>
      </c>
      <c r="S63" s="119" t="s">
        <v>1319</v>
      </c>
      <c r="T63" s="119" t="s">
        <v>1320</v>
      </c>
      <c r="U63" s="268" t="s">
        <v>1321</v>
      </c>
      <c r="V63" s="269" t="s">
        <v>1322</v>
      </c>
      <c r="W63" s="269" t="s">
        <v>1323</v>
      </c>
      <c r="X63" s="119" t="s">
        <v>1324</v>
      </c>
      <c r="Y63" s="119" t="s">
        <v>1325</v>
      </c>
      <c r="Z63" s="119" t="s">
        <v>1326</v>
      </c>
      <c r="AA63" s="327"/>
      <c r="AB63" s="119"/>
    </row>
    <row r="64" spans="1:35" x14ac:dyDescent="0.2">
      <c r="A64" s="120" t="s">
        <v>313</v>
      </c>
      <c r="B64" s="120" t="s">
        <v>1327</v>
      </c>
      <c r="C64" s="120"/>
      <c r="D64" s="270" t="s">
        <v>1328</v>
      </c>
      <c r="E64" s="120" t="s">
        <v>1329</v>
      </c>
      <c r="F64" s="120" t="s">
        <v>1330</v>
      </c>
      <c r="G64" s="119" t="s">
        <v>1331</v>
      </c>
      <c r="H64" s="120" t="s">
        <v>1332</v>
      </c>
      <c r="I64" s="120" t="s">
        <v>1333</v>
      </c>
      <c r="J64" s="120" t="s">
        <v>1334</v>
      </c>
      <c r="K64" s="120" t="s">
        <v>1335</v>
      </c>
      <c r="L64" s="120" t="s">
        <v>1336</v>
      </c>
      <c r="M64" s="271" t="s">
        <v>717</v>
      </c>
      <c r="N64" s="120" t="s">
        <v>1328</v>
      </c>
      <c r="O64" s="120" t="s">
        <v>1329</v>
      </c>
      <c r="P64" s="119" t="s">
        <v>1330</v>
      </c>
      <c r="Q64" s="119" t="s">
        <v>1331</v>
      </c>
      <c r="R64" s="120" t="s">
        <v>1332</v>
      </c>
      <c r="S64" s="120" t="s">
        <v>1333</v>
      </c>
      <c r="T64" s="120" t="s">
        <v>1334</v>
      </c>
      <c r="U64" s="120" t="s">
        <v>1336</v>
      </c>
      <c r="V64" s="271" t="s">
        <v>717</v>
      </c>
      <c r="W64" s="119" t="s">
        <v>1337</v>
      </c>
      <c r="X64" s="271" t="s">
        <v>1338</v>
      </c>
      <c r="Y64" s="120" t="s">
        <v>1339</v>
      </c>
      <c r="Z64" s="120" t="s">
        <v>1340</v>
      </c>
    </row>
    <row r="65" spans="1:29" ht="13.5" thickBot="1" x14ac:dyDescent="0.25">
      <c r="A65" s="118" t="s">
        <v>319</v>
      </c>
      <c r="B65" s="272" t="s">
        <v>1341</v>
      </c>
      <c r="C65" s="273" t="s">
        <v>1342</v>
      </c>
      <c r="D65" s="274" t="s">
        <v>1343</v>
      </c>
      <c r="E65" s="273" t="s">
        <v>1344</v>
      </c>
      <c r="F65" s="273" t="s">
        <v>1344</v>
      </c>
      <c r="G65" s="121" t="s">
        <v>1344</v>
      </c>
      <c r="H65" s="273" t="s">
        <v>1344</v>
      </c>
      <c r="I65" s="273" t="s">
        <v>1345</v>
      </c>
      <c r="J65" s="273" t="s">
        <v>1344</v>
      </c>
      <c r="K65" s="273" t="s">
        <v>1346</v>
      </c>
      <c r="L65" s="273" t="s">
        <v>1344</v>
      </c>
      <c r="M65" s="275"/>
      <c r="N65" s="121" t="s">
        <v>1343</v>
      </c>
      <c r="O65" s="121" t="s">
        <v>1344</v>
      </c>
      <c r="P65" s="121" t="s">
        <v>1344</v>
      </c>
      <c r="Q65" s="121" t="s">
        <v>1344</v>
      </c>
      <c r="R65" s="273" t="s">
        <v>1344</v>
      </c>
      <c r="S65" s="273" t="s">
        <v>1345</v>
      </c>
      <c r="T65" s="273" t="s">
        <v>1344</v>
      </c>
      <c r="U65" s="273" t="s">
        <v>1344</v>
      </c>
      <c r="V65" s="275"/>
      <c r="W65" s="273" t="s">
        <v>1347</v>
      </c>
      <c r="X65" s="275" t="s">
        <v>1348</v>
      </c>
      <c r="Y65" s="118" t="s">
        <v>1349</v>
      </c>
      <c r="Z65" s="118" t="s">
        <v>1350</v>
      </c>
    </row>
    <row r="66" spans="1:29" x14ac:dyDescent="0.2">
      <c r="A66" s="120">
        <v>1</v>
      </c>
      <c r="B66" s="306">
        <v>10000</v>
      </c>
      <c r="C66" s="128">
        <f>+B66*730*0.35</f>
        <v>2555000</v>
      </c>
      <c r="D66" s="279">
        <f>+$G$80+$B66*$G$81+($C66*$G$84)/100</f>
        <v>170807.75</v>
      </c>
      <c r="E66" s="278">
        <f>+$C66*$G$88/100</f>
        <v>96221.3</v>
      </c>
      <c r="F66" s="278">
        <f>+$B66*$G$91</f>
        <v>7100</v>
      </c>
      <c r="G66" s="278">
        <f>+$B66*$G$92</f>
        <v>1900</v>
      </c>
      <c r="H66" s="278">
        <f>+$C66*$G$94/100</f>
        <v>1890.7</v>
      </c>
      <c r="I66" s="278">
        <f>+$B66*$G$93</f>
        <v>3100</v>
      </c>
      <c r="J66" s="278">
        <f>+$B66*$G$95</f>
        <v>1200</v>
      </c>
      <c r="K66" s="278">
        <f>+$C66*$G$96/100</f>
        <v>0</v>
      </c>
      <c r="L66" s="278">
        <f>+SUM(D66:K66)*0.025641</f>
        <v>7236.3966097500006</v>
      </c>
      <c r="M66" s="278">
        <f>SUM(D66:L66)</f>
        <v>289456.14660974999</v>
      </c>
      <c r="N66" s="279">
        <f>+$L$80+$B66*$L$81+($C66*$L$84)/100</f>
        <v>177648.15</v>
      </c>
      <c r="O66" s="278">
        <f>+$C66*$L$88/100</f>
        <v>96221.3</v>
      </c>
      <c r="P66" s="278">
        <f>+$B66*$L$91</f>
        <v>7100</v>
      </c>
      <c r="Q66" s="278">
        <f>+$B66*$L$92</f>
        <v>1900</v>
      </c>
      <c r="R66" s="278">
        <f>+$C66*$L$94/100</f>
        <v>1890.7</v>
      </c>
      <c r="S66" s="278">
        <f>+$B66*$L$93</f>
        <v>3100</v>
      </c>
      <c r="T66" s="278">
        <f>+$B66*$L$95</f>
        <v>1200</v>
      </c>
      <c r="U66" s="278">
        <f>+SUM(N66:T66)*0.025641</f>
        <v>7411.7913061500012</v>
      </c>
      <c r="V66" s="278">
        <f>SUM(N66:U66)</f>
        <v>296471.94130615005</v>
      </c>
      <c r="W66" s="277">
        <f>V66-M66</f>
        <v>7015.7946964000585</v>
      </c>
      <c r="X66" s="280">
        <f>+W66/M66</f>
        <v>2.4237850115025817E-2</v>
      </c>
      <c r="Y66" s="294">
        <f>+M66/C66 *100</f>
        <v>11.329007695097847</v>
      </c>
      <c r="Z66" s="314">
        <f>+V66/C66*100</f>
        <v>11.603598485563603</v>
      </c>
      <c r="AA66" s="305"/>
    </row>
    <row r="67" spans="1:29" x14ac:dyDescent="0.2">
      <c r="A67" s="120">
        <v>2</v>
      </c>
      <c r="B67" s="306">
        <v>10000</v>
      </c>
      <c r="C67" s="128">
        <f>+B67*730*0.6</f>
        <v>4380000</v>
      </c>
      <c r="D67" s="277">
        <f>+$G$80+$B67*$G$81+($C67*$G$84)/100</f>
        <v>193273.5</v>
      </c>
      <c r="E67" s="278">
        <f>+$C67*$G$88/100</f>
        <v>164950.79999999999</v>
      </c>
      <c r="F67" s="278">
        <f>+$B67*$G$91</f>
        <v>7100</v>
      </c>
      <c r="G67" s="278">
        <f>+$B67*$G$92</f>
        <v>1900</v>
      </c>
      <c r="H67" s="278">
        <f>+$C67*$G$94/100</f>
        <v>3241.2</v>
      </c>
      <c r="I67" s="278">
        <f>+$B67*$G$93</f>
        <v>3100</v>
      </c>
      <c r="J67" s="278">
        <f>+$B67*$G$95</f>
        <v>1200</v>
      </c>
      <c r="K67" s="278">
        <f t="shared" ref="K67:K76" si="2">+$C67*$G$96/100</f>
        <v>0</v>
      </c>
      <c r="L67" s="278">
        <f t="shared" ref="L67:L76" si="3">+SUM(D67:K67)*0.025641</f>
        <v>9609.3621855000001</v>
      </c>
      <c r="M67" s="278">
        <f>SUM(D67:L67)</f>
        <v>384374.86218549998</v>
      </c>
      <c r="N67" s="277">
        <f>+$L$80+$B67*$L$81+($C67*$L$84)/100</f>
        <v>201026.40000000002</v>
      </c>
      <c r="O67" s="278">
        <f>+$C67*$L$88/100</f>
        <v>164950.79999999999</v>
      </c>
      <c r="P67" s="278">
        <f>+$B67*$L$91</f>
        <v>7100</v>
      </c>
      <c r="Q67" s="278">
        <f>+$B67*$L$92</f>
        <v>1900</v>
      </c>
      <c r="R67" s="278">
        <f>+$C67*$L$94/100</f>
        <v>3241.2</v>
      </c>
      <c r="S67" s="278">
        <f>+$B67*$L$93</f>
        <v>3100</v>
      </c>
      <c r="T67" s="278">
        <f>+$B67*$L$95</f>
        <v>1200</v>
      </c>
      <c r="U67" s="278">
        <f>+SUM(N67:T67)*0.025641</f>
        <v>9808.1542944000012</v>
      </c>
      <c r="V67" s="278">
        <f>SUM(N67:U67)</f>
        <v>392326.55429440003</v>
      </c>
      <c r="W67" s="277">
        <f>+V67-M67</f>
        <v>7951.6921089000534</v>
      </c>
      <c r="X67" s="280">
        <f>+W67/M67</f>
        <v>2.0687336481079642E-2</v>
      </c>
      <c r="Y67" s="295">
        <f>+M67/C67 *100</f>
        <v>8.7756817850570776</v>
      </c>
      <c r="Z67" s="314">
        <f>+V67/C67*100</f>
        <v>8.9572272669954351</v>
      </c>
      <c r="AA67" s="313"/>
      <c r="AB67" s="315"/>
    </row>
    <row r="68" spans="1:29" x14ac:dyDescent="0.2">
      <c r="A68" s="120">
        <v>3</v>
      </c>
      <c r="B68" s="306">
        <v>10000</v>
      </c>
      <c r="C68" s="128">
        <f>+B68*730*0.9</f>
        <v>6570000</v>
      </c>
      <c r="D68" s="277">
        <f>+$H$80+($B68*$H$82+$B68*$H$83)+$C68/100*$H$85*0.25+$C68/100*$H$86*0.4+$C68/100*$H$87*0.35</f>
        <v>221763.21000000002</v>
      </c>
      <c r="E68" s="278">
        <f>+$C68*$H$89/100*0.25+C68*$H$90/100*0.75</f>
        <v>246539.25</v>
      </c>
      <c r="F68" s="278">
        <f>+$B68*$G$91</f>
        <v>7100</v>
      </c>
      <c r="G68" s="278">
        <f>+$B68*$H$92</f>
        <v>1900</v>
      </c>
      <c r="H68" s="278">
        <f>+$C68*$H$94/100</f>
        <v>4861.8</v>
      </c>
      <c r="I68" s="278">
        <f>+$B68*$H$93</f>
        <v>3100</v>
      </c>
      <c r="J68" s="278">
        <f>+$B68*$H$95</f>
        <v>1200</v>
      </c>
      <c r="K68" s="278">
        <f t="shared" si="2"/>
        <v>0</v>
      </c>
      <c r="L68" s="278">
        <f t="shared" si="3"/>
        <v>12473.43009066</v>
      </c>
      <c r="M68" s="278">
        <f>SUM(D68:L68)</f>
        <v>498937.69009066001</v>
      </c>
      <c r="N68" s="277">
        <f>+$M$80+($B68*$M$82+$B68*$M83)+$C68/100*$M$85*0.25+$C68/100*M86*0.4+$C68/100*M87*0.35</f>
        <v>230657.1</v>
      </c>
      <c r="O68" s="278">
        <f>+$C68*$M$89/100*0.25+C68*$M$90/100*0.75</f>
        <v>246539.25</v>
      </c>
      <c r="P68" s="278">
        <f>+$B68*$L$91</f>
        <v>7100</v>
      </c>
      <c r="Q68" s="278">
        <f>+$B68*$M$92</f>
        <v>1900</v>
      </c>
      <c r="R68" s="278">
        <f>+$C68*$M$94/100</f>
        <v>4861.8</v>
      </c>
      <c r="S68" s="278">
        <f>+$B68*$M$93</f>
        <v>3100</v>
      </c>
      <c r="T68" s="278">
        <f>+$B68*$M$95</f>
        <v>1200</v>
      </c>
      <c r="U68" s="278">
        <f>+SUM(N68:T68)*0.025641</f>
        <v>12701.478324149999</v>
      </c>
      <c r="V68" s="278">
        <f>SUM(N68:U68)</f>
        <v>508059.62832414999</v>
      </c>
      <c r="W68" s="277">
        <f>+V68-M68</f>
        <v>9121.9382334899856</v>
      </c>
      <c r="X68" s="280">
        <f>+W68/M68</f>
        <v>1.8282720296862068E-2</v>
      </c>
      <c r="Y68" s="295">
        <f>+M68/C68 *100</f>
        <v>7.5941809755047194</v>
      </c>
      <c r="Z68" s="314">
        <f>+V68/C68*100</f>
        <v>7.7330232621636226</v>
      </c>
      <c r="AA68" s="313"/>
      <c r="AB68" s="316"/>
    </row>
    <row r="69" spans="1:29" x14ac:dyDescent="0.2">
      <c r="A69" s="120">
        <v>4</v>
      </c>
      <c r="D69" s="317"/>
      <c r="E69" s="318"/>
      <c r="F69" s="278"/>
      <c r="G69" s="318"/>
      <c r="H69" s="318"/>
      <c r="I69" s="318"/>
      <c r="J69" s="278"/>
      <c r="K69" s="278"/>
      <c r="L69" s="278"/>
      <c r="M69" s="318"/>
      <c r="N69" s="317"/>
      <c r="O69" s="318"/>
      <c r="P69" s="278"/>
      <c r="Q69" s="318"/>
      <c r="R69" s="318"/>
      <c r="S69" s="318"/>
      <c r="T69" s="278"/>
      <c r="U69" s="278"/>
      <c r="V69" s="318"/>
      <c r="W69" s="277"/>
      <c r="X69" s="280"/>
      <c r="Y69" s="319"/>
      <c r="Z69" s="320"/>
      <c r="AA69" s="313"/>
      <c r="AB69" s="316"/>
      <c r="AC69" s="305"/>
    </row>
    <row r="70" spans="1:29" x14ac:dyDescent="0.2">
      <c r="A70" s="120">
        <v>5</v>
      </c>
      <c r="B70" s="309">
        <v>12500</v>
      </c>
      <c r="C70" s="128">
        <f>+B70*730*0.35</f>
        <v>3193750</v>
      </c>
      <c r="D70" s="277">
        <f>+$G$80+$B70*$G$81+($C70*$G$84)/100</f>
        <v>212495.76250000001</v>
      </c>
      <c r="E70" s="278">
        <f>+$C70*$G$88/100</f>
        <v>120276.625</v>
      </c>
      <c r="F70" s="278">
        <f>+$B70*$G$91</f>
        <v>8875</v>
      </c>
      <c r="G70" s="278">
        <f>+$B70*$G$92</f>
        <v>2375</v>
      </c>
      <c r="H70" s="278">
        <f>+$C70*$G$94/100</f>
        <v>2363.375</v>
      </c>
      <c r="I70" s="278">
        <f>+$B70*$G$93</f>
        <v>3875</v>
      </c>
      <c r="J70" s="278">
        <f>+$B70*$G$95</f>
        <v>1500</v>
      </c>
      <c r="K70" s="278">
        <f t="shared" si="2"/>
        <v>0</v>
      </c>
      <c r="L70" s="278">
        <f t="shared" si="3"/>
        <v>9019.4977112625002</v>
      </c>
      <c r="M70" s="278">
        <f>SUM(D70:L70)</f>
        <v>360780.2602112625</v>
      </c>
      <c r="N70" s="277">
        <f>+$L$80+$B70*$L$81+($C70*$L$84)/100</f>
        <v>221005.53750000001</v>
      </c>
      <c r="O70" s="278">
        <f>+$C70*$L$88/100</f>
        <v>120276.625</v>
      </c>
      <c r="P70" s="278">
        <f>+$B70*$L$91</f>
        <v>8875</v>
      </c>
      <c r="Q70" s="278">
        <f>+$B70*$L$92</f>
        <v>2375</v>
      </c>
      <c r="R70" s="278">
        <f>+$C70*$L$94/100</f>
        <v>2363.375</v>
      </c>
      <c r="S70" s="278">
        <f>+$B70*$L$93</f>
        <v>3875</v>
      </c>
      <c r="T70" s="278">
        <f>+$B70*$L$95</f>
        <v>1500</v>
      </c>
      <c r="U70" s="278">
        <f>+SUM(N70:T70)*0.025641</f>
        <v>9237.6968520374994</v>
      </c>
      <c r="V70" s="278">
        <f>SUM(N70:U70)</f>
        <v>369508.23435203749</v>
      </c>
      <c r="W70" s="277">
        <f>+V70-M70</f>
        <v>8727.9741407749825</v>
      </c>
      <c r="X70" s="280">
        <f>+W70/M70</f>
        <v>2.4191939258717019E-2</v>
      </c>
      <c r="Y70" s="295">
        <f>+M70/C70 *100</f>
        <v>11.296446503679453</v>
      </c>
      <c r="Z70" s="314">
        <f>+V70/C70*100</f>
        <v>11.569729451335812</v>
      </c>
      <c r="AC70" s="313"/>
    </row>
    <row r="71" spans="1:29" x14ac:dyDescent="0.2">
      <c r="A71" s="120">
        <v>6</v>
      </c>
      <c r="B71" s="309">
        <v>12500</v>
      </c>
      <c r="C71" s="128">
        <f>+B71*730*0.6</f>
        <v>5475000</v>
      </c>
      <c r="D71" s="277">
        <f>+$G$80+$B71*$G$81+($C71*$G$84)/100</f>
        <v>240577.95</v>
      </c>
      <c r="E71" s="278">
        <f>+$C71*$G$88/100</f>
        <v>206188.5</v>
      </c>
      <c r="F71" s="278">
        <f>+$B71*$G$91</f>
        <v>8875</v>
      </c>
      <c r="G71" s="278">
        <f>+$B71*$G$92</f>
        <v>2375</v>
      </c>
      <c r="H71" s="278">
        <f>+$C71*$G$94/100</f>
        <v>4051.5</v>
      </c>
      <c r="I71" s="278">
        <f>+$B71*$G$93</f>
        <v>3875</v>
      </c>
      <c r="J71" s="278">
        <f>+$B71*$G$95</f>
        <v>1500</v>
      </c>
      <c r="K71" s="278">
        <f t="shared" si="2"/>
        <v>0</v>
      </c>
      <c r="L71" s="278">
        <f t="shared" si="3"/>
        <v>11985.704680950001</v>
      </c>
      <c r="M71" s="278">
        <f>SUM(D71:L71)</f>
        <v>479428.65468094999</v>
      </c>
      <c r="N71" s="277">
        <f>+$L$80+$B71*$L$81+($C71*$L$84)/100</f>
        <v>250228.35</v>
      </c>
      <c r="O71" s="278">
        <f>+$C71*$L$88/100</f>
        <v>206188.5</v>
      </c>
      <c r="P71" s="278">
        <f>+$B71*$L$91</f>
        <v>8875</v>
      </c>
      <c r="Q71" s="278">
        <f>+$B71*$L$92</f>
        <v>2375</v>
      </c>
      <c r="R71" s="278">
        <f>+$C71*$L$94/100</f>
        <v>4051.5</v>
      </c>
      <c r="S71" s="278">
        <f>+$B71*$L$93</f>
        <v>3875</v>
      </c>
      <c r="T71" s="278">
        <f>+$B71*$L$95</f>
        <v>1500</v>
      </c>
      <c r="U71" s="278">
        <f>+SUM(N71:T71)*0.025641</f>
        <v>12233.150587349999</v>
      </c>
      <c r="V71" s="278">
        <f>SUM(N71:U71)</f>
        <v>489326.50058734999</v>
      </c>
      <c r="W71" s="277">
        <f>+V71-M71</f>
        <v>9897.8459064000053</v>
      </c>
      <c r="X71" s="280">
        <f>+W71/M71</f>
        <v>2.0645086207846337E-2</v>
      </c>
      <c r="Y71" s="295">
        <f>+M71/C71 *100</f>
        <v>8.7566877567296793</v>
      </c>
      <c r="Z71" s="314">
        <f>+V71/C71*100</f>
        <v>8.9374703303625562</v>
      </c>
      <c r="AA71" s="313"/>
      <c r="AC71" s="313"/>
    </row>
    <row r="72" spans="1:29" x14ac:dyDescent="0.2">
      <c r="A72" s="120">
        <v>7</v>
      </c>
      <c r="B72" s="309">
        <v>12500</v>
      </c>
      <c r="C72" s="128">
        <f>+B72*730*0.9</f>
        <v>8212500</v>
      </c>
      <c r="D72" s="277">
        <f>+$H$80+($B72*$H$82+$B72*$H$83)+$C72/100*$H$85*0.25+$C72/100*$H$86*0.4+$C72/100*$H$87*0.35</f>
        <v>276190.08750000002</v>
      </c>
      <c r="E72" s="278">
        <f>+$C72*$H$89/100*0.25+C72*$H$90/100*0.75</f>
        <v>308174.0625</v>
      </c>
      <c r="F72" s="278">
        <f>+$B72*$G$91</f>
        <v>8875</v>
      </c>
      <c r="G72" s="278">
        <f>+$B72*$H$92</f>
        <v>2375</v>
      </c>
      <c r="H72" s="278">
        <f>+$C72*$H$94/100</f>
        <v>6077.25</v>
      </c>
      <c r="I72" s="278">
        <f>+$B72*$H$93</f>
        <v>3875</v>
      </c>
      <c r="J72" s="278">
        <f>+$B72*$H$95</f>
        <v>1500</v>
      </c>
      <c r="K72" s="278">
        <f t="shared" si="2"/>
        <v>0</v>
      </c>
      <c r="L72" s="278">
        <f t="shared" si="3"/>
        <v>15565.789562400001</v>
      </c>
      <c r="M72" s="278">
        <f>SUM(D72:L72)</f>
        <v>622632.18956239999</v>
      </c>
      <c r="N72" s="277">
        <f>+$M$80+($B72*$M$82+$B72*$M83)+$C72/100*$M$85*0.25+$C72/100*M86*0.4+$C72/100*M87*0.35</f>
        <v>287266.72499999998</v>
      </c>
      <c r="O72" s="278">
        <f>+$C72*$M$89/100*0.25+C72*$M$90/100*0.75</f>
        <v>308174.0625</v>
      </c>
      <c r="P72" s="278">
        <f>+$B72*$L$91</f>
        <v>8875</v>
      </c>
      <c r="Q72" s="278">
        <f>+$B72*$M$92</f>
        <v>2375</v>
      </c>
      <c r="R72" s="278">
        <f>+$C72*$M$94/100</f>
        <v>6077.25</v>
      </c>
      <c r="S72" s="278">
        <f>+$B72*$M$93</f>
        <v>3875</v>
      </c>
      <c r="T72" s="278">
        <f>+$B72*$M$95</f>
        <v>1500</v>
      </c>
      <c r="U72" s="278">
        <f>+SUM(N72:T72)*0.025641</f>
        <v>15849.805624537499</v>
      </c>
      <c r="V72" s="278">
        <f>SUM(N72:U72)</f>
        <v>633992.8431245375</v>
      </c>
      <c r="W72" s="277">
        <f>+V72-M72</f>
        <v>11360.653562137508</v>
      </c>
      <c r="X72" s="280">
        <f>+W72/M72</f>
        <v>1.8246171259025386E-2</v>
      </c>
      <c r="Y72" s="295">
        <f>+M72/C72 *100</f>
        <v>7.5815182899531193</v>
      </c>
      <c r="Z72" s="314">
        <f>+V72/C72*100</f>
        <v>7.7198519710750384</v>
      </c>
      <c r="AA72" s="313"/>
      <c r="AC72" s="313"/>
    </row>
    <row r="73" spans="1:29" x14ac:dyDescent="0.2">
      <c r="A73" s="120">
        <v>8</v>
      </c>
      <c r="D73" s="317"/>
      <c r="E73" s="318"/>
      <c r="F73" s="278"/>
      <c r="G73" s="318"/>
      <c r="H73" s="318"/>
      <c r="I73" s="318"/>
      <c r="J73" s="278"/>
      <c r="K73" s="278"/>
      <c r="L73" s="278"/>
      <c r="M73" s="318"/>
      <c r="N73" s="317"/>
      <c r="O73" s="318"/>
      <c r="P73" s="278"/>
      <c r="Q73" s="318"/>
      <c r="R73" s="318"/>
      <c r="S73" s="318"/>
      <c r="T73" s="278"/>
      <c r="U73" s="278"/>
      <c r="V73" s="318"/>
      <c r="W73" s="277"/>
      <c r="X73" s="280"/>
      <c r="Y73" s="319"/>
      <c r="Z73" s="320"/>
      <c r="AA73" s="313"/>
    </row>
    <row r="74" spans="1:29" x14ac:dyDescent="0.2">
      <c r="A74" s="120">
        <v>9</v>
      </c>
      <c r="B74" s="310">
        <v>15000</v>
      </c>
      <c r="C74" s="128">
        <f>+B74*730*0.35</f>
        <v>3832499.9999999995</v>
      </c>
      <c r="D74" s="277">
        <f>+$G$80+$B74*$G$81+($C74*$G$84)/100</f>
        <v>254183.77499999999</v>
      </c>
      <c r="E74" s="278">
        <f>+$C74*$G$88/100</f>
        <v>144331.94999999998</v>
      </c>
      <c r="F74" s="278">
        <f>+$B74*$G$91</f>
        <v>10650</v>
      </c>
      <c r="G74" s="278">
        <f>+$B74*$G$92</f>
        <v>2850</v>
      </c>
      <c r="H74" s="278">
        <f>+$C74*$G$94/100</f>
        <v>2836.0499999999993</v>
      </c>
      <c r="I74" s="278">
        <f>+$B74*$G$93</f>
        <v>4650</v>
      </c>
      <c r="J74" s="278">
        <f>+$B74*$G$95</f>
        <v>1800</v>
      </c>
      <c r="K74" s="278">
        <f t="shared" si="2"/>
        <v>0</v>
      </c>
      <c r="L74" s="278">
        <f t="shared" si="3"/>
        <v>10802.598812774999</v>
      </c>
      <c r="M74" s="278">
        <f>SUM(D74:L74)</f>
        <v>432104.37381277495</v>
      </c>
      <c r="N74" s="277">
        <f>+$L$80+$B74*$L$81+($C74*$L$84)/100</f>
        <v>264362.92499999999</v>
      </c>
      <c r="O74" s="278">
        <f>+$C74*$L$88/100</f>
        <v>144331.94999999998</v>
      </c>
      <c r="P74" s="278">
        <f>+$B74*$L$91</f>
        <v>10650</v>
      </c>
      <c r="Q74" s="278">
        <f>+$B74*$L$92</f>
        <v>2850</v>
      </c>
      <c r="R74" s="278">
        <f>+$C74*$L$94/100</f>
        <v>2836.0499999999993</v>
      </c>
      <c r="S74" s="278">
        <f>+$B74*$L$93</f>
        <v>4650</v>
      </c>
      <c r="T74" s="278">
        <f>+$B74*$L$95</f>
        <v>1800</v>
      </c>
      <c r="U74" s="278">
        <f>+SUM(N74:T74)*0.025641</f>
        <v>11063.602397925</v>
      </c>
      <c r="V74" s="278">
        <f>SUM(N74:U74)</f>
        <v>442544.52739792498</v>
      </c>
      <c r="W74" s="277">
        <f>V74-M74</f>
        <v>10440.153585150023</v>
      </c>
      <c r="X74" s="280">
        <f>+W74/M74</f>
        <v>2.4161184699494853E-2</v>
      </c>
      <c r="Y74" s="295">
        <f>+M74/C74 *100</f>
        <v>11.274739042733856</v>
      </c>
      <c r="Z74" s="314">
        <f>+V74/C74*100</f>
        <v>11.547150095183953</v>
      </c>
      <c r="AB74" s="128"/>
      <c r="AC74" s="313"/>
    </row>
    <row r="75" spans="1:29" x14ac:dyDescent="0.2">
      <c r="A75" s="120">
        <v>10</v>
      </c>
      <c r="B75" s="310">
        <v>15000</v>
      </c>
      <c r="C75" s="128">
        <f>+B75*730*0.6</f>
        <v>6570000</v>
      </c>
      <c r="D75" s="277">
        <f>+$G$80+$B75*$G$81+($C75*$G$84)/100</f>
        <v>287882.40000000002</v>
      </c>
      <c r="E75" s="278">
        <f>+$C75*$G$88/100</f>
        <v>247426.2</v>
      </c>
      <c r="F75" s="278">
        <f>+$B75*$G$91</f>
        <v>10650</v>
      </c>
      <c r="G75" s="278">
        <f>+$B75*$G$92</f>
        <v>2850</v>
      </c>
      <c r="H75" s="278">
        <f>+$C75*$G$94/100</f>
        <v>4861.8</v>
      </c>
      <c r="I75" s="278">
        <f>+$B75*$G$93</f>
        <v>4650</v>
      </c>
      <c r="J75" s="278">
        <f>+$B75*$G$95</f>
        <v>1800</v>
      </c>
      <c r="K75" s="278">
        <f t="shared" si="2"/>
        <v>0</v>
      </c>
      <c r="L75" s="278">
        <f t="shared" si="3"/>
        <v>14362.047176400003</v>
      </c>
      <c r="M75" s="278">
        <f>SUM(D75:L75)</f>
        <v>574482.44717640011</v>
      </c>
      <c r="N75" s="277">
        <f>+$L$80+$B75*$L$81+($C75*$L$84)/100</f>
        <v>299430.3</v>
      </c>
      <c r="O75" s="278">
        <f>+$C75*$L$88/100</f>
        <v>247426.2</v>
      </c>
      <c r="P75" s="278">
        <f>+$B75*$L$91</f>
        <v>10650</v>
      </c>
      <c r="Q75" s="278">
        <f>+$B75*$L$92</f>
        <v>2850</v>
      </c>
      <c r="R75" s="278">
        <f>+$C75*$L$94/100</f>
        <v>4861.8</v>
      </c>
      <c r="S75" s="278">
        <f>+$B75*$L$93</f>
        <v>4650</v>
      </c>
      <c r="T75" s="278">
        <f>+$B75*$L$95</f>
        <v>1800</v>
      </c>
      <c r="U75" s="278">
        <f>+SUM(N75:T75)*0.025641</f>
        <v>14658.146880300001</v>
      </c>
      <c r="V75" s="278">
        <f>SUM(N75:U75)</f>
        <v>586326.44688030006</v>
      </c>
      <c r="W75" s="277">
        <f>+V75-M75</f>
        <v>11843.999703899957</v>
      </c>
      <c r="X75" s="280">
        <f>+W75/M75</f>
        <v>2.0616817384262305E-2</v>
      </c>
      <c r="Y75" s="295">
        <f>+M75/C75 *100</f>
        <v>8.7440250711780845</v>
      </c>
      <c r="Z75" s="314">
        <f>+V75/C75*100</f>
        <v>8.9242990392739738</v>
      </c>
      <c r="AA75" s="313"/>
      <c r="AB75" s="137"/>
      <c r="AC75" s="313"/>
    </row>
    <row r="76" spans="1:29" x14ac:dyDescent="0.2">
      <c r="A76" s="120">
        <v>11</v>
      </c>
      <c r="B76" s="310">
        <v>15000</v>
      </c>
      <c r="C76" s="128">
        <f>+B76*730*0.9</f>
        <v>9855000</v>
      </c>
      <c r="D76" s="277">
        <f>+$H$80+($B76*$H$82+$B76*$H$83)+$C76/100*$H$85*0.25+$C76/100*$H$86*0.4+$C76/100*$H$87*0.35</f>
        <v>330616.96500000003</v>
      </c>
      <c r="E76" s="278">
        <f>+$C76*$H$89/100*0.25+C76*$H$90/100*0.75</f>
        <v>369808.87499999994</v>
      </c>
      <c r="F76" s="278">
        <f>+$B76*$G$91</f>
        <v>10650</v>
      </c>
      <c r="G76" s="278">
        <f>+$B76*$H$92</f>
        <v>2850</v>
      </c>
      <c r="H76" s="278">
        <f>+$C76*$H$94/100</f>
        <v>7292.7</v>
      </c>
      <c r="I76" s="278">
        <f>+$B76*$H$93</f>
        <v>4650</v>
      </c>
      <c r="J76" s="278">
        <f>+$B76*$H$95</f>
        <v>1800</v>
      </c>
      <c r="K76" s="278">
        <f t="shared" si="2"/>
        <v>0</v>
      </c>
      <c r="L76" s="278">
        <f t="shared" si="3"/>
        <v>18658.149034139999</v>
      </c>
      <c r="M76" s="278">
        <f>SUM(D76:L76)</f>
        <v>746326.68903413997</v>
      </c>
      <c r="N76" s="277">
        <f>+$M$80+($B76*$M$82+$B76*$M83)+$C76/100*$M$85*0.25+$C76/100*M86*0.4+$C76/100*M87*0.35</f>
        <v>343876.35000000003</v>
      </c>
      <c r="O76" s="278">
        <f>+$C76*$M$89/100*0.25+C76*$M$90/100*0.75</f>
        <v>369808.87499999994</v>
      </c>
      <c r="P76" s="278">
        <f>+$B76*$L$91</f>
        <v>10650</v>
      </c>
      <c r="Q76" s="278">
        <f>+$B76*$M$92</f>
        <v>2850</v>
      </c>
      <c r="R76" s="278">
        <f>+$C76*$M$94/100</f>
        <v>7292.7</v>
      </c>
      <c r="S76" s="278">
        <f>+$B76*$M$93</f>
        <v>4650</v>
      </c>
      <c r="T76" s="278">
        <f>+$B76*$M$95</f>
        <v>1800</v>
      </c>
      <c r="U76" s="278">
        <f>+SUM(N76:T76)*0.025641</f>
        <v>18998.132924924997</v>
      </c>
      <c r="V76" s="278">
        <f>SUM(N76:U76)</f>
        <v>759926.05792492488</v>
      </c>
      <c r="W76" s="277">
        <f>V76-M76</f>
        <v>13599.368890784914</v>
      </c>
      <c r="X76" s="280">
        <f>+W76/M76</f>
        <v>1.8221737331120452E-2</v>
      </c>
      <c r="Y76" s="295">
        <f>+M76/C76 *100</f>
        <v>7.5730764995853876</v>
      </c>
      <c r="Z76" s="314">
        <f>+V76/C76*100</f>
        <v>7.7110711103493141</v>
      </c>
      <c r="AA76" s="313"/>
      <c r="AB76" s="137"/>
      <c r="AC76" s="313"/>
    </row>
    <row r="77" spans="1:29" x14ac:dyDescent="0.2">
      <c r="A77" s="120">
        <v>12</v>
      </c>
      <c r="D77" s="324"/>
      <c r="E77" s="324"/>
      <c r="F77" s="324"/>
      <c r="G77" s="324"/>
      <c r="H77" s="324"/>
      <c r="I77" s="324"/>
      <c r="J77" s="324"/>
      <c r="K77" s="324"/>
      <c r="L77" s="324"/>
      <c r="M77" s="324"/>
      <c r="N77" s="324"/>
      <c r="O77" s="324"/>
      <c r="P77" s="324"/>
      <c r="Q77" s="324"/>
      <c r="R77" s="324"/>
      <c r="S77" s="324"/>
      <c r="T77" s="324"/>
      <c r="U77" s="324"/>
      <c r="V77" s="324"/>
      <c r="W77" s="324"/>
      <c r="X77" s="288"/>
      <c r="Y77" s="280"/>
      <c r="Z77" s="128"/>
      <c r="AA77" s="313"/>
      <c r="AB77" s="137"/>
    </row>
    <row r="78" spans="1:29" x14ac:dyDescent="0.2">
      <c r="A78" s="120">
        <v>13</v>
      </c>
      <c r="G78" s="374" t="s">
        <v>1339</v>
      </c>
      <c r="H78" s="374"/>
      <c r="I78" s="374"/>
      <c r="J78" s="120"/>
      <c r="K78" s="120"/>
      <c r="L78" s="374" t="s">
        <v>1340</v>
      </c>
      <c r="M78" s="374"/>
      <c r="N78" s="374"/>
      <c r="R78" s="113"/>
      <c r="AB78" s="313"/>
    </row>
    <row r="79" spans="1:29" x14ac:dyDescent="0.2">
      <c r="A79" s="120">
        <v>14</v>
      </c>
      <c r="C79" s="120"/>
      <c r="D79" s="120"/>
      <c r="E79" s="120"/>
      <c r="F79" s="120"/>
      <c r="G79" s="120" t="s">
        <v>818</v>
      </c>
      <c r="H79" s="120" t="s">
        <v>1401</v>
      </c>
      <c r="I79" s="120"/>
      <c r="J79" s="120"/>
      <c r="K79" s="120"/>
      <c r="L79" s="120" t="s">
        <v>818</v>
      </c>
      <c r="M79" s="120" t="s">
        <v>1401</v>
      </c>
      <c r="N79" s="113"/>
      <c r="AB79" s="313"/>
    </row>
    <row r="80" spans="1:29" x14ac:dyDescent="0.2">
      <c r="A80" s="120">
        <v>15</v>
      </c>
      <c r="C80" s="116" t="s">
        <v>1352</v>
      </c>
      <c r="D80" s="120"/>
      <c r="E80" s="120"/>
      <c r="F80" s="120"/>
      <c r="G80" s="287">
        <f>+ROUND('2027 GSLDSU Rate Class E-13c'!J18,2)*30</f>
        <v>4055.7</v>
      </c>
      <c r="H80" s="287">
        <f>+ROUND('2027 GSLDSU Rate Class E-13c'!J19,2)*30</f>
        <v>4055.7</v>
      </c>
      <c r="I80" s="116" t="s">
        <v>1353</v>
      </c>
      <c r="J80" s="116"/>
      <c r="K80" s="116"/>
      <c r="L80" s="286">
        <f>+ROUND('2027 GSLDSU Rate Class E-13c'!Q18,2)*30</f>
        <v>4218.6000000000004</v>
      </c>
      <c r="M80" s="286">
        <f>+ROUND('2027 GSLDSU Rate Class E-13c'!Q19,2)*30</f>
        <v>4218.6000000000004</v>
      </c>
      <c r="N80" s="116" t="s">
        <v>1353</v>
      </c>
      <c r="AB80" s="313"/>
    </row>
    <row r="81" spans="1:27" x14ac:dyDescent="0.2">
      <c r="A81" s="120">
        <v>16</v>
      </c>
      <c r="C81" s="116" t="s">
        <v>1354</v>
      </c>
      <c r="D81" s="120"/>
      <c r="G81" s="287">
        <f>+ROUND('2027 GSLDSU Rate Class E-13c'!J30,2)</f>
        <v>13.53</v>
      </c>
      <c r="H81" s="287">
        <v>0</v>
      </c>
      <c r="I81" s="116" t="s">
        <v>1355</v>
      </c>
      <c r="J81" s="116"/>
      <c r="K81" s="116"/>
      <c r="L81" s="286">
        <f>ROUND(+'2027 GSLDSU Rate Class E-13c'!Q30,2)</f>
        <v>14.07</v>
      </c>
      <c r="M81" s="286">
        <v>0</v>
      </c>
      <c r="N81" s="116" t="s">
        <v>1355</v>
      </c>
      <c r="S81" s="288"/>
      <c r="T81" s="288"/>
      <c r="U81" s="288"/>
      <c r="V81" s="288"/>
      <c r="W81" s="288"/>
      <c r="X81" s="128"/>
      <c r="Y81" s="280"/>
      <c r="Z81" s="128"/>
      <c r="AA81" s="128"/>
    </row>
    <row r="82" spans="1:27" x14ac:dyDescent="0.2">
      <c r="A82" s="120">
        <v>17</v>
      </c>
      <c r="C82" s="116" t="s">
        <v>1392</v>
      </c>
      <c r="D82" s="120"/>
      <c r="G82" s="287">
        <v>0</v>
      </c>
      <c r="H82" s="287">
        <f>+ROUND('2027 GSLDSU Rate Class E-13c'!J31,2)</f>
        <v>1.64</v>
      </c>
      <c r="I82" s="116" t="s">
        <v>1355</v>
      </c>
      <c r="J82" s="116"/>
      <c r="K82" s="116"/>
      <c r="L82" s="286">
        <v>0</v>
      </c>
      <c r="M82" s="286">
        <f>+ROUND('2027 GSLDSU Rate Class E-13c'!Q31,2)</f>
        <v>1.71</v>
      </c>
      <c r="N82" s="116" t="s">
        <v>1355</v>
      </c>
      <c r="S82" s="288"/>
      <c r="T82" s="288"/>
      <c r="U82" s="288"/>
      <c r="V82" s="288"/>
      <c r="W82" s="288"/>
      <c r="X82" s="128"/>
      <c r="Y82" s="280"/>
      <c r="Z82" s="128"/>
      <c r="AA82" s="128"/>
    </row>
    <row r="83" spans="1:27" x14ac:dyDescent="0.2">
      <c r="A83" s="120">
        <v>18</v>
      </c>
      <c r="C83" s="116" t="s">
        <v>1393</v>
      </c>
      <c r="D83" s="120"/>
      <c r="G83" s="287">
        <v>0</v>
      </c>
      <c r="H83" s="287">
        <f>+ROUND('2027 GSLDSU Rate Class E-13c'!J32,2)</f>
        <v>11.89</v>
      </c>
      <c r="I83" s="116" t="s">
        <v>1355</v>
      </c>
      <c r="J83" s="116"/>
      <c r="K83" s="116"/>
      <c r="L83" s="286">
        <v>0</v>
      </c>
      <c r="M83" s="286">
        <f>+ROUND('2027 GSLDSU Rate Class E-13c'!Q32,2)</f>
        <v>12.36</v>
      </c>
      <c r="N83" s="116" t="s">
        <v>1355</v>
      </c>
      <c r="S83" s="288"/>
      <c r="T83" s="288"/>
      <c r="U83" s="288"/>
      <c r="V83" s="288"/>
      <c r="W83" s="288"/>
      <c r="X83" s="128"/>
      <c r="Y83" s="280"/>
      <c r="Z83" s="128"/>
      <c r="AA83" s="128"/>
    </row>
    <row r="84" spans="1:27" x14ac:dyDescent="0.2">
      <c r="A84" s="120">
        <v>19</v>
      </c>
      <c r="C84" s="116" t="s">
        <v>1356</v>
      </c>
      <c r="D84" s="120"/>
      <c r="G84" s="301">
        <f>+ROUND('2027 GSLDSU Rate Class E-13c'!J23,5)*100</f>
        <v>1.2309999999999999</v>
      </c>
      <c r="H84" s="287">
        <v>0</v>
      </c>
      <c r="I84" s="116" t="s">
        <v>1358</v>
      </c>
      <c r="J84" s="116"/>
      <c r="K84" s="116"/>
      <c r="L84" s="289">
        <f>+ROUND('2027 GSLDSU Rate Class E-13c'!Q23,5)*100</f>
        <v>1.2809999999999999</v>
      </c>
      <c r="M84" s="286">
        <v>0</v>
      </c>
      <c r="N84" s="116" t="s">
        <v>1358</v>
      </c>
      <c r="S84" s="288"/>
      <c r="T84" s="288"/>
      <c r="U84" s="288"/>
      <c r="V84" s="288"/>
      <c r="W84" s="288"/>
      <c r="X84" s="128"/>
      <c r="Y84" s="280"/>
      <c r="Z84" s="128"/>
      <c r="AA84" s="128"/>
    </row>
    <row r="85" spans="1:27" x14ac:dyDescent="0.2">
      <c r="A85" s="120">
        <v>20</v>
      </c>
      <c r="B85" s="310"/>
      <c r="C85" s="290" t="s">
        <v>1378</v>
      </c>
      <c r="D85" s="120"/>
      <c r="G85" s="301">
        <v>0</v>
      </c>
      <c r="H85" s="301">
        <f>+ROUND('2027 GSLDSU Rate Class E-13c'!J24,5)*100</f>
        <v>2.2190000000000003</v>
      </c>
      <c r="I85" s="116" t="s">
        <v>1358</v>
      </c>
      <c r="J85" s="116"/>
      <c r="K85" s="116"/>
      <c r="L85" s="286">
        <v>0</v>
      </c>
      <c r="M85" s="289">
        <f>+ROUND('2027 GSLDSU Rate Class E-13c'!Q24,5)*100</f>
        <v>2.3079999999999998</v>
      </c>
      <c r="N85" s="116" t="s">
        <v>1358</v>
      </c>
      <c r="S85" s="288"/>
      <c r="T85" s="288"/>
      <c r="U85" s="288"/>
      <c r="V85" s="288"/>
      <c r="W85" s="288"/>
      <c r="X85" s="288"/>
      <c r="Y85" s="280"/>
      <c r="Z85" s="288"/>
      <c r="AA85" s="307"/>
    </row>
    <row r="86" spans="1:27" x14ac:dyDescent="0.2">
      <c r="A86" s="120">
        <v>21</v>
      </c>
      <c r="B86" s="310"/>
      <c r="C86" s="290" t="s">
        <v>1379</v>
      </c>
      <c r="D86" s="120"/>
      <c r="G86" s="301">
        <v>0</v>
      </c>
      <c r="H86" s="301">
        <f>+ROUND('2027 GSLDSU Rate Class E-13c'!J25,5)*100</f>
        <v>1.083</v>
      </c>
      <c r="I86" s="116" t="s">
        <v>1358</v>
      </c>
      <c r="J86" s="116"/>
      <c r="K86" s="116"/>
      <c r="L86" s="289">
        <v>0</v>
      </c>
      <c r="M86" s="289">
        <f>+ROUND('2027 GSLDSU Rate Class E-13c'!Q25,5)*100</f>
        <v>1.127</v>
      </c>
      <c r="N86" s="116" t="s">
        <v>1358</v>
      </c>
      <c r="S86" s="288"/>
      <c r="T86" s="288"/>
      <c r="U86" s="288"/>
      <c r="V86" s="288"/>
      <c r="W86" s="288"/>
      <c r="X86" s="288"/>
      <c r="Y86" s="280"/>
      <c r="Z86" s="288"/>
      <c r="AA86" s="307"/>
    </row>
    <row r="87" spans="1:27" x14ac:dyDescent="0.2">
      <c r="A87" s="120">
        <v>22</v>
      </c>
      <c r="B87" s="310"/>
      <c r="C87" s="290" t="s">
        <v>1380</v>
      </c>
      <c r="G87" s="301">
        <v>0</v>
      </c>
      <c r="H87" s="301">
        <f>+ROUND('2027 GSLDSU Rate Class E-13c'!J26,5)*100</f>
        <v>0.76100000000000001</v>
      </c>
      <c r="I87" s="116" t="s">
        <v>1358</v>
      </c>
      <c r="L87" s="286">
        <v>0</v>
      </c>
      <c r="M87" s="289">
        <f>+ROUND('2027 GSLDSU Rate Class E-13c'!Q26,5)*100</f>
        <v>0.79200000000000004</v>
      </c>
      <c r="N87" s="116" t="s">
        <v>1358</v>
      </c>
      <c r="S87" s="288"/>
      <c r="T87" s="288"/>
      <c r="U87" s="288"/>
      <c r="V87" s="288"/>
      <c r="W87" s="288"/>
      <c r="X87" s="288"/>
      <c r="Y87" s="280"/>
      <c r="Z87" s="288"/>
      <c r="AA87" s="307"/>
    </row>
    <row r="88" spans="1:27" x14ac:dyDescent="0.2">
      <c r="A88" s="120">
        <v>23</v>
      </c>
      <c r="B88" s="310"/>
      <c r="C88" s="116" t="s">
        <v>1372</v>
      </c>
      <c r="D88" s="120"/>
      <c r="G88" s="145">
        <f>0.03766*100</f>
        <v>3.766</v>
      </c>
      <c r="H88" s="145">
        <v>0</v>
      </c>
      <c r="I88" s="116" t="s">
        <v>1358</v>
      </c>
      <c r="J88" s="116"/>
      <c r="K88" s="116"/>
      <c r="L88" s="145">
        <f>+G88</f>
        <v>3.766</v>
      </c>
      <c r="M88" s="145">
        <f>+H88</f>
        <v>0</v>
      </c>
      <c r="N88" s="116" t="s">
        <v>1358</v>
      </c>
      <c r="S88" s="288"/>
      <c r="T88" s="288"/>
      <c r="U88" s="288"/>
      <c r="V88" s="288"/>
      <c r="W88" s="288"/>
      <c r="X88" s="288"/>
      <c r="Y88" s="280"/>
      <c r="Z88" s="288"/>
      <c r="AA88" s="307"/>
    </row>
    <row r="89" spans="1:27" x14ac:dyDescent="0.2">
      <c r="A89" s="120">
        <v>24</v>
      </c>
      <c r="B89" s="310"/>
      <c r="C89" s="290" t="s">
        <v>1378</v>
      </c>
      <c r="G89" s="145">
        <v>0</v>
      </c>
      <c r="H89" s="145">
        <f>0.03964*100</f>
        <v>3.964</v>
      </c>
      <c r="I89" s="116" t="s">
        <v>1358</v>
      </c>
      <c r="J89" s="116"/>
      <c r="K89" s="116"/>
      <c r="L89" s="145">
        <f t="shared" ref="L89:M95" si="4">+G89</f>
        <v>0</v>
      </c>
      <c r="M89" s="145">
        <f t="shared" si="4"/>
        <v>3.964</v>
      </c>
      <c r="N89" s="116" t="s">
        <v>1358</v>
      </c>
      <c r="S89" s="128"/>
      <c r="T89" s="128"/>
      <c r="U89" s="128"/>
      <c r="V89" s="128"/>
      <c r="W89" s="128"/>
      <c r="X89" s="128"/>
      <c r="Y89" s="280"/>
      <c r="Z89" s="128"/>
      <c r="AA89" s="128"/>
    </row>
    <row r="90" spans="1:27" x14ac:dyDescent="0.2">
      <c r="A90" s="120">
        <v>25</v>
      </c>
      <c r="B90" s="310"/>
      <c r="C90" s="290" t="s">
        <v>1379</v>
      </c>
      <c r="G90" s="145">
        <v>0</v>
      </c>
      <c r="H90" s="145">
        <f>0.03682*100</f>
        <v>3.6819999999999999</v>
      </c>
      <c r="I90" s="116" t="s">
        <v>1358</v>
      </c>
      <c r="J90" s="116"/>
      <c r="K90" s="116"/>
      <c r="L90" s="145">
        <f t="shared" si="4"/>
        <v>0</v>
      </c>
      <c r="M90" s="145">
        <f t="shared" si="4"/>
        <v>3.6819999999999999</v>
      </c>
      <c r="N90" s="116" t="s">
        <v>1358</v>
      </c>
      <c r="S90" s="288"/>
      <c r="T90" s="288"/>
      <c r="U90" s="288"/>
      <c r="V90" s="288"/>
      <c r="W90" s="288"/>
      <c r="X90" s="288"/>
      <c r="Y90" s="280"/>
      <c r="Z90" s="288"/>
      <c r="AA90" s="307"/>
    </row>
    <row r="91" spans="1:27" x14ac:dyDescent="0.2">
      <c r="A91" s="120">
        <v>26</v>
      </c>
      <c r="B91" s="310"/>
      <c r="C91" s="116" t="s">
        <v>1361</v>
      </c>
      <c r="D91" s="120"/>
      <c r="G91" s="288">
        <v>0.71</v>
      </c>
      <c r="H91" s="288">
        <v>0.71</v>
      </c>
      <c r="I91" s="116" t="s">
        <v>1355</v>
      </c>
      <c r="J91" s="116"/>
      <c r="K91" s="116"/>
      <c r="L91" s="288">
        <f t="shared" si="4"/>
        <v>0.71</v>
      </c>
      <c r="M91" s="288">
        <f t="shared" si="4"/>
        <v>0.71</v>
      </c>
      <c r="N91" s="116" t="s">
        <v>1355</v>
      </c>
      <c r="S91" s="288"/>
      <c r="T91" s="288"/>
      <c r="U91" s="288"/>
      <c r="V91" s="288"/>
      <c r="W91" s="288"/>
      <c r="X91" s="288"/>
      <c r="Y91" s="280"/>
      <c r="Z91" s="288"/>
      <c r="AA91" s="307"/>
    </row>
    <row r="92" spans="1:27" x14ac:dyDescent="0.2">
      <c r="A92" s="120">
        <v>27</v>
      </c>
      <c r="B92" s="310"/>
      <c r="C92" s="116" t="s">
        <v>1362</v>
      </c>
      <c r="D92" s="120"/>
      <c r="G92" s="288">
        <v>0.19</v>
      </c>
      <c r="H92" s="288">
        <v>0.19</v>
      </c>
      <c r="I92" s="116" t="s">
        <v>1355</v>
      </c>
      <c r="J92" s="116"/>
      <c r="K92" s="116"/>
      <c r="L92" s="288">
        <f t="shared" si="4"/>
        <v>0.19</v>
      </c>
      <c r="M92" s="288">
        <f t="shared" si="4"/>
        <v>0.19</v>
      </c>
      <c r="N92" s="116" t="s">
        <v>1355</v>
      </c>
      <c r="S92" s="288"/>
      <c r="T92" s="288"/>
      <c r="U92" s="288"/>
      <c r="V92" s="288"/>
      <c r="W92" s="288"/>
      <c r="X92" s="288"/>
      <c r="Y92" s="280"/>
      <c r="Z92" s="288"/>
      <c r="AA92" s="307"/>
    </row>
    <row r="93" spans="1:27" x14ac:dyDescent="0.2">
      <c r="A93" s="120">
        <v>28</v>
      </c>
      <c r="B93" s="310"/>
      <c r="C93" s="116" t="s">
        <v>1363</v>
      </c>
      <c r="D93" s="120"/>
      <c r="G93" s="288">
        <v>0.31</v>
      </c>
      <c r="H93" s="288">
        <v>0.31</v>
      </c>
      <c r="I93" s="116" t="s">
        <v>1355</v>
      </c>
      <c r="J93" s="116"/>
      <c r="K93" s="116"/>
      <c r="L93" s="288">
        <f t="shared" si="4"/>
        <v>0.31</v>
      </c>
      <c r="M93" s="288">
        <f t="shared" si="4"/>
        <v>0.31</v>
      </c>
      <c r="N93" s="116" t="s">
        <v>1355</v>
      </c>
      <c r="S93" s="288"/>
      <c r="T93" s="288"/>
      <c r="U93" s="288"/>
      <c r="V93" s="288"/>
      <c r="W93" s="288"/>
      <c r="X93" s="288"/>
      <c r="Y93" s="280"/>
      <c r="Z93" s="288"/>
      <c r="AA93" s="307"/>
    </row>
    <row r="94" spans="1:27" x14ac:dyDescent="0.2">
      <c r="A94" s="120">
        <v>29</v>
      </c>
      <c r="C94" s="116" t="s">
        <v>1364</v>
      </c>
      <c r="D94" s="120"/>
      <c r="G94" s="145">
        <f>0.00074*100</f>
        <v>7.3999999999999996E-2</v>
      </c>
      <c r="H94" s="145">
        <v>7.3999999999999996E-2</v>
      </c>
      <c r="I94" s="116" t="s">
        <v>1358</v>
      </c>
      <c r="J94" s="116"/>
      <c r="K94" s="116"/>
      <c r="L94" s="145">
        <f t="shared" si="4"/>
        <v>7.3999999999999996E-2</v>
      </c>
      <c r="M94" s="145">
        <f t="shared" si="4"/>
        <v>7.3999999999999996E-2</v>
      </c>
      <c r="N94" s="116" t="s">
        <v>1358</v>
      </c>
      <c r="X94" s="128"/>
      <c r="Y94" s="128"/>
      <c r="Z94" s="128"/>
      <c r="AA94" s="128"/>
    </row>
    <row r="95" spans="1:27" x14ac:dyDescent="0.2">
      <c r="A95" s="120">
        <v>30</v>
      </c>
      <c r="B95" s="310"/>
      <c r="C95" s="116" t="s">
        <v>1365</v>
      </c>
      <c r="D95" s="120"/>
      <c r="G95" s="313">
        <v>0.12</v>
      </c>
      <c r="H95" s="313">
        <v>0.12</v>
      </c>
      <c r="I95" s="116" t="s">
        <v>1355</v>
      </c>
      <c r="J95" s="116"/>
      <c r="K95" s="116"/>
      <c r="L95" s="313">
        <f t="shared" si="4"/>
        <v>0.12</v>
      </c>
      <c r="M95" s="313">
        <f t="shared" si="4"/>
        <v>0.12</v>
      </c>
      <c r="N95" s="116" t="s">
        <v>1355</v>
      </c>
      <c r="S95" s="288"/>
      <c r="T95" s="288"/>
      <c r="U95" s="288"/>
      <c r="V95" s="288"/>
      <c r="W95" s="288"/>
      <c r="X95" s="288"/>
      <c r="Y95" s="280"/>
      <c r="Z95" s="288"/>
      <c r="AA95" s="307"/>
    </row>
    <row r="96" spans="1:27" x14ac:dyDescent="0.2">
      <c r="A96" s="120">
        <v>31</v>
      </c>
      <c r="B96" s="310"/>
      <c r="C96" s="113" t="s">
        <v>1366</v>
      </c>
      <c r="G96" s="289">
        <v>0</v>
      </c>
      <c r="H96" s="289">
        <v>0</v>
      </c>
      <c r="I96" s="113" t="s">
        <v>1358</v>
      </c>
      <c r="J96" s="113"/>
      <c r="K96" s="113"/>
      <c r="L96" s="286"/>
      <c r="M96" s="286"/>
      <c r="N96" s="113"/>
      <c r="S96" s="288"/>
      <c r="T96" s="288"/>
      <c r="U96" s="288"/>
      <c r="V96" s="288"/>
      <c r="W96" s="288"/>
      <c r="X96" s="288"/>
      <c r="Y96" s="280"/>
      <c r="Z96" s="288"/>
      <c r="AA96" s="307"/>
    </row>
    <row r="97" spans="1:28" x14ac:dyDescent="0.2">
      <c r="A97" s="120">
        <v>32</v>
      </c>
      <c r="B97" s="310"/>
      <c r="S97" s="288"/>
      <c r="T97" s="288"/>
      <c r="U97" s="288"/>
      <c r="V97" s="288"/>
      <c r="W97" s="288"/>
      <c r="X97" s="288"/>
      <c r="Y97" s="280"/>
      <c r="Z97" s="288"/>
      <c r="AA97" s="307"/>
    </row>
    <row r="98" spans="1:28" x14ac:dyDescent="0.2">
      <c r="A98" s="120">
        <v>33</v>
      </c>
      <c r="C98" s="128" t="s">
        <v>1381</v>
      </c>
      <c r="X98" s="128"/>
      <c r="Y98" s="128"/>
      <c r="Z98" s="128"/>
      <c r="AA98" s="128"/>
    </row>
    <row r="99" spans="1:28" x14ac:dyDescent="0.2">
      <c r="A99" s="120">
        <v>34</v>
      </c>
      <c r="C99" s="128" t="s">
        <v>1394</v>
      </c>
      <c r="X99" s="128"/>
      <c r="Y99" s="128"/>
      <c r="Z99" s="128"/>
      <c r="AA99" s="128"/>
    </row>
    <row r="100" spans="1:28" x14ac:dyDescent="0.2">
      <c r="A100" s="120">
        <v>35</v>
      </c>
      <c r="B100" s="276"/>
      <c r="C100" s="128" t="s">
        <v>1395</v>
      </c>
      <c r="S100" s="128"/>
      <c r="T100" s="128"/>
      <c r="U100" s="128"/>
      <c r="V100" s="128"/>
      <c r="W100" s="128"/>
      <c r="X100" s="128"/>
      <c r="Y100" s="128"/>
      <c r="Z100" s="128"/>
      <c r="AA100" s="128"/>
    </row>
    <row r="101" spans="1:28" x14ac:dyDescent="0.2">
      <c r="A101" s="120">
        <v>36</v>
      </c>
      <c r="B101" s="276"/>
      <c r="C101" s="128" t="s">
        <v>1396</v>
      </c>
      <c r="T101" s="128"/>
      <c r="U101" s="128"/>
      <c r="V101" s="128"/>
      <c r="W101" s="128"/>
      <c r="X101" s="128"/>
      <c r="Y101" s="128"/>
      <c r="Z101" s="128"/>
      <c r="AA101" s="128"/>
    </row>
    <row r="102" spans="1:28" x14ac:dyDescent="0.2">
      <c r="A102" s="120">
        <v>37</v>
      </c>
      <c r="B102" s="276"/>
      <c r="C102" s="128" t="s">
        <v>1397</v>
      </c>
      <c r="T102" s="128"/>
      <c r="U102" s="128"/>
      <c r="V102" s="128"/>
      <c r="W102" s="128"/>
      <c r="X102" s="128"/>
      <c r="Y102" s="128"/>
      <c r="Z102" s="128"/>
      <c r="AA102" s="128"/>
    </row>
    <row r="103" spans="1:28" x14ac:dyDescent="0.2">
      <c r="A103" s="120">
        <v>38</v>
      </c>
      <c r="B103" s="276"/>
      <c r="C103" s="128" t="s">
        <v>1398</v>
      </c>
      <c r="T103" s="128"/>
      <c r="U103" s="128"/>
      <c r="V103" s="128"/>
      <c r="W103" s="128"/>
      <c r="X103" s="128"/>
      <c r="Y103" s="128"/>
      <c r="Z103" s="128"/>
      <c r="AA103" s="128"/>
    </row>
    <row r="104" spans="1:28" x14ac:dyDescent="0.2">
      <c r="A104" s="120">
        <v>38</v>
      </c>
      <c r="B104" s="276"/>
      <c r="O104" s="128"/>
      <c r="P104" s="128"/>
      <c r="Q104" s="128"/>
      <c r="T104" s="128"/>
      <c r="U104" s="128"/>
      <c r="V104" s="128"/>
      <c r="W104" s="128"/>
      <c r="X104" s="128"/>
      <c r="Y104" s="128"/>
      <c r="Z104" s="128"/>
      <c r="AA104" s="128"/>
    </row>
    <row r="105" spans="1:28" x14ac:dyDescent="0.2">
      <c r="A105" s="120">
        <v>39</v>
      </c>
      <c r="B105" s="113"/>
      <c r="O105" s="126"/>
      <c r="P105" s="126"/>
      <c r="Q105" s="128"/>
      <c r="T105" s="126"/>
      <c r="U105" s="126"/>
      <c r="V105" s="126"/>
      <c r="W105" s="126"/>
      <c r="X105" s="126"/>
      <c r="Y105" s="126"/>
      <c r="Z105" s="126"/>
      <c r="AA105" s="126"/>
    </row>
    <row r="106" spans="1:28" x14ac:dyDescent="0.2">
      <c r="A106" s="120">
        <v>40</v>
      </c>
      <c r="B106" s="113"/>
      <c r="C106" s="128"/>
      <c r="M106" s="286"/>
      <c r="O106" s="126"/>
      <c r="P106" s="126"/>
      <c r="Q106" s="128"/>
      <c r="T106" s="126"/>
      <c r="U106" s="126"/>
      <c r="V106" s="126"/>
      <c r="W106" s="126"/>
      <c r="X106" s="126"/>
      <c r="Y106" s="126"/>
      <c r="Z106" s="126"/>
      <c r="AA106" s="126"/>
    </row>
    <row r="107" spans="1:28" ht="13.5" thickBot="1" x14ac:dyDescent="0.25">
      <c r="A107" s="118">
        <v>41</v>
      </c>
      <c r="B107" s="114"/>
      <c r="C107" s="264"/>
      <c r="D107" s="264"/>
      <c r="E107" s="264"/>
      <c r="F107" s="26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264"/>
    </row>
    <row r="108" spans="1:28" x14ac:dyDescent="0.2">
      <c r="A108" s="113" t="s">
        <v>1368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 t="s">
        <v>1369</v>
      </c>
      <c r="Y108" s="113"/>
      <c r="Z108" s="113"/>
    </row>
  </sheetData>
  <mergeCells count="21">
    <mergeCell ref="G78:I78"/>
    <mergeCell ref="L78:N78"/>
    <mergeCell ref="G24:I24"/>
    <mergeCell ref="L24:N24"/>
    <mergeCell ref="Y55:Z55"/>
    <mergeCell ref="H59:R59"/>
    <mergeCell ref="Y62:Z62"/>
    <mergeCell ref="B61:C61"/>
    <mergeCell ref="B62:C62"/>
    <mergeCell ref="D62:M62"/>
    <mergeCell ref="N62:V62"/>
    <mergeCell ref="W62:X62"/>
    <mergeCell ref="Y1:Z1"/>
    <mergeCell ref="AA1:AB1"/>
    <mergeCell ref="H5:R5"/>
    <mergeCell ref="B7:C7"/>
    <mergeCell ref="B8:C8"/>
    <mergeCell ref="D8:M8"/>
    <mergeCell ref="N8:V8"/>
    <mergeCell ref="W8:X8"/>
    <mergeCell ref="Y8:Z8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88BB7-F02F-4D9A-90EE-FB120CF597AC}">
  <dimension ref="A1:T623"/>
  <sheetViews>
    <sheetView tabSelected="1" topLeftCell="A2" workbookViewId="0">
      <selection activeCell="A585" sqref="A585:A622"/>
    </sheetView>
  </sheetViews>
  <sheetFormatPr defaultColWidth="9.140625" defaultRowHeight="11.25" x14ac:dyDescent="0.2"/>
  <cols>
    <col min="1" max="1" width="3.5703125" style="113" customWidth="1"/>
    <col min="2" max="2" width="3.85546875" style="113" customWidth="1"/>
    <col min="3" max="3" width="9.5703125" style="113" customWidth="1"/>
    <col min="4" max="4" width="3.7109375" style="113" customWidth="1"/>
    <col min="5" max="5" width="8.28515625" style="113" customWidth="1"/>
    <col min="6" max="6" width="15.140625" style="113" customWidth="1"/>
    <col min="7" max="7" width="12.5703125" style="113" customWidth="1"/>
    <col min="8" max="8" width="9.5703125" style="113" customWidth="1"/>
    <col min="9" max="9" width="16.42578125" style="113" customWidth="1"/>
    <col min="10" max="10" width="6.85546875" style="113" customWidth="1"/>
    <col min="11" max="11" width="7.7109375" style="113" customWidth="1"/>
    <col min="12" max="12" width="9.42578125" style="113" customWidth="1"/>
    <col min="13" max="13" width="4.5703125" style="113" customWidth="1"/>
    <col min="14" max="14" width="9.5703125" style="113" customWidth="1"/>
    <col min="15" max="15" width="6.85546875" style="113" customWidth="1"/>
    <col min="16" max="16" width="10" style="113" customWidth="1"/>
    <col min="17" max="17" width="9.42578125" style="113" customWidth="1"/>
    <col min="18" max="18" width="9.28515625" style="113" customWidth="1"/>
    <col min="19" max="19" width="9.5703125" style="113" customWidth="1"/>
    <col min="20" max="20" width="10.28515625" style="113" customWidth="1"/>
    <col min="21" max="16384" width="9.140625" style="113"/>
  </cols>
  <sheetData>
    <row r="1" spans="1:20" ht="14.1" hidden="1" customHeight="1" x14ac:dyDescent="0.2">
      <c r="T1" s="113">
        <v>20</v>
      </c>
    </row>
    <row r="2" spans="1:20" ht="14.1" customHeight="1" thickBot="1" x14ac:dyDescent="0.25">
      <c r="A2" s="114" t="s">
        <v>1402</v>
      </c>
      <c r="B2" s="114"/>
      <c r="C2" s="114"/>
      <c r="D2" s="114"/>
      <c r="E2" s="114"/>
      <c r="F2" s="114"/>
      <c r="G2" s="114"/>
      <c r="H2" s="114"/>
      <c r="I2" s="114" t="s">
        <v>1403</v>
      </c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263" t="s">
        <v>1404</v>
      </c>
    </row>
    <row r="3" spans="1:20" ht="14.1" customHeight="1" x14ac:dyDescent="0.2">
      <c r="A3" s="113" t="s">
        <v>307</v>
      </c>
      <c r="F3" s="117" t="s">
        <v>1405</v>
      </c>
      <c r="G3" s="113" t="s">
        <v>1406</v>
      </c>
      <c r="L3" s="115"/>
      <c r="M3" s="115"/>
      <c r="O3" s="115"/>
      <c r="P3" s="115"/>
      <c r="Q3" s="115" t="s">
        <v>845</v>
      </c>
      <c r="T3" s="116"/>
    </row>
    <row r="4" spans="1:20" ht="14.1" customHeight="1" x14ac:dyDescent="0.2">
      <c r="G4" s="113" t="s">
        <v>1407</v>
      </c>
      <c r="L4" s="117"/>
      <c r="M4" s="116"/>
      <c r="P4" s="117"/>
      <c r="Q4" s="11" t="s">
        <v>916</v>
      </c>
      <c r="R4" s="10" t="s">
        <v>1512</v>
      </c>
      <c r="T4" s="117"/>
    </row>
    <row r="5" spans="1:20" ht="14.1" customHeight="1" x14ac:dyDescent="0.2">
      <c r="A5" s="113" t="s">
        <v>310</v>
      </c>
      <c r="L5" s="117"/>
      <c r="M5" s="116"/>
      <c r="N5" s="117"/>
      <c r="Q5" s="11"/>
      <c r="R5" s="10"/>
      <c r="T5" s="117"/>
    </row>
    <row r="6" spans="1:20" ht="14.1" customHeight="1" x14ac:dyDescent="0.2">
      <c r="L6" s="117"/>
      <c r="M6" s="116"/>
      <c r="N6" s="117"/>
      <c r="Q6" s="11"/>
      <c r="R6" s="10"/>
      <c r="T6" s="117"/>
    </row>
    <row r="7" spans="1:20" ht="14.1" customHeight="1" thickBot="1" x14ac:dyDescent="0.25">
      <c r="A7" s="114" t="s">
        <v>1292</v>
      </c>
      <c r="B7" s="114"/>
      <c r="C7" s="114"/>
      <c r="D7" s="114"/>
      <c r="E7" s="114"/>
      <c r="F7" s="114"/>
      <c r="G7" s="114"/>
      <c r="H7" s="114"/>
      <c r="I7" s="118"/>
      <c r="J7" s="114"/>
      <c r="K7" s="114"/>
      <c r="L7" s="114"/>
      <c r="M7" s="114"/>
      <c r="N7" s="114"/>
      <c r="O7" s="114"/>
      <c r="P7" s="114"/>
      <c r="Q7" s="114"/>
      <c r="R7" s="114" t="s">
        <v>1519</v>
      </c>
      <c r="S7" s="114"/>
      <c r="T7" s="114"/>
    </row>
    <row r="8" spans="1:20" ht="14.1" customHeight="1" x14ac:dyDescent="0.2">
      <c r="C8" s="120" t="s">
        <v>846</v>
      </c>
      <c r="D8" s="119"/>
      <c r="E8" s="119"/>
      <c r="F8" s="119" t="s">
        <v>847</v>
      </c>
      <c r="G8" s="119"/>
      <c r="H8" s="119"/>
      <c r="I8" s="119" t="s">
        <v>848</v>
      </c>
      <c r="J8" s="119"/>
      <c r="K8" s="119"/>
      <c r="L8" s="119" t="s">
        <v>849</v>
      </c>
      <c r="M8" s="119"/>
      <c r="N8" s="119" t="s">
        <v>1306</v>
      </c>
      <c r="O8" s="119"/>
      <c r="Q8" s="119" t="s">
        <v>1307</v>
      </c>
      <c r="R8" s="119"/>
      <c r="S8" s="119"/>
      <c r="T8" s="119"/>
    </row>
    <row r="9" spans="1:20" ht="14.1" customHeight="1" x14ac:dyDescent="0.2">
      <c r="B9" s="120"/>
      <c r="C9" s="120"/>
      <c r="D9" s="120"/>
      <c r="E9" s="119"/>
      <c r="F9" s="120"/>
      <c r="G9" s="120"/>
      <c r="H9" s="119"/>
      <c r="I9" s="120"/>
      <c r="J9" s="120"/>
      <c r="K9" s="120"/>
      <c r="L9" s="120"/>
      <c r="M9" s="120"/>
      <c r="N9" s="120"/>
      <c r="O9" s="120"/>
      <c r="Q9" s="120"/>
      <c r="R9" s="120"/>
      <c r="S9" s="120"/>
      <c r="T9" s="119"/>
    </row>
    <row r="10" spans="1:20" ht="14.1" customHeight="1" x14ac:dyDescent="0.2">
      <c r="B10" s="120"/>
      <c r="C10" s="120" t="s">
        <v>1408</v>
      </c>
      <c r="D10" s="120"/>
      <c r="E10" s="120"/>
      <c r="F10" s="119"/>
      <c r="G10" s="119"/>
      <c r="H10" s="120"/>
      <c r="I10" s="119"/>
      <c r="J10" s="119"/>
      <c r="K10" s="119"/>
      <c r="L10" s="120" t="s">
        <v>853</v>
      </c>
      <c r="M10" s="120"/>
      <c r="N10" s="119"/>
      <c r="O10" s="119"/>
      <c r="Q10" s="119" t="s">
        <v>855</v>
      </c>
      <c r="R10" s="119"/>
      <c r="S10" s="119"/>
      <c r="T10" s="120"/>
    </row>
    <row r="11" spans="1:20" ht="14.1" customHeight="1" x14ac:dyDescent="0.2">
      <c r="A11" s="120" t="s">
        <v>313</v>
      </c>
      <c r="B11" s="120"/>
      <c r="C11" s="120" t="s">
        <v>856</v>
      </c>
      <c r="D11" s="120"/>
      <c r="E11" s="120"/>
      <c r="F11" s="119"/>
      <c r="G11" s="119"/>
      <c r="H11" s="119"/>
      <c r="I11" s="119" t="s">
        <v>1409</v>
      </c>
      <c r="J11" s="119"/>
      <c r="K11" s="119"/>
      <c r="L11" s="119" t="s">
        <v>856</v>
      </c>
      <c r="M11" s="119"/>
      <c r="N11" s="119" t="s">
        <v>853</v>
      </c>
      <c r="O11" s="119"/>
      <c r="Q11" s="119" t="s">
        <v>325</v>
      </c>
      <c r="R11" s="119"/>
      <c r="S11" s="119"/>
      <c r="T11" s="120"/>
    </row>
    <row r="12" spans="1:20" ht="14.1" customHeight="1" thickBot="1" x14ac:dyDescent="0.25">
      <c r="A12" s="118" t="s">
        <v>319</v>
      </c>
      <c r="B12" s="118"/>
      <c r="C12" s="118" t="s">
        <v>1410</v>
      </c>
      <c r="D12" s="118"/>
      <c r="E12" s="118"/>
      <c r="F12" s="114" t="s">
        <v>1411</v>
      </c>
      <c r="G12" s="121"/>
      <c r="H12" s="121"/>
      <c r="I12" s="121" t="s">
        <v>856</v>
      </c>
      <c r="J12" s="121"/>
      <c r="K12" s="121"/>
      <c r="L12" s="121" t="s">
        <v>1410</v>
      </c>
      <c r="M12" s="121"/>
      <c r="N12" s="121" t="s">
        <v>856</v>
      </c>
      <c r="O12" s="121"/>
      <c r="P12" s="114"/>
      <c r="Q12" s="121" t="s">
        <v>1412</v>
      </c>
      <c r="R12" s="121"/>
      <c r="S12" s="121"/>
      <c r="T12" s="121"/>
    </row>
    <row r="13" spans="1:20" ht="14.1" customHeight="1" x14ac:dyDescent="0.2">
      <c r="A13" s="120">
        <v>1</v>
      </c>
      <c r="B13" s="328"/>
      <c r="C13" s="329" t="s">
        <v>1413</v>
      </c>
      <c r="D13" s="328"/>
      <c r="E13" s="330" t="s">
        <v>326</v>
      </c>
      <c r="F13" s="331"/>
      <c r="G13" s="332"/>
      <c r="H13" s="332"/>
      <c r="I13" s="333"/>
      <c r="J13" s="328"/>
      <c r="K13" s="328"/>
      <c r="L13" s="329" t="s">
        <v>1413</v>
      </c>
      <c r="M13" s="328"/>
      <c r="N13" s="328"/>
      <c r="O13" s="328"/>
      <c r="Q13" s="328"/>
      <c r="R13" s="328"/>
      <c r="S13" s="328"/>
      <c r="T13" s="328"/>
    </row>
    <row r="14" spans="1:20" ht="14.1" customHeight="1" x14ac:dyDescent="0.2">
      <c r="A14" s="120">
        <v>2</v>
      </c>
      <c r="B14" s="328"/>
      <c r="C14" s="328"/>
      <c r="F14" s="332" t="s">
        <v>327</v>
      </c>
      <c r="G14" s="332"/>
      <c r="H14" s="332"/>
      <c r="I14" s="288">
        <f>+'2027 RS Rate Class E-13c'!J19</f>
        <v>1.1351081432400001</v>
      </c>
      <c r="J14" s="328" t="s">
        <v>1414</v>
      </c>
      <c r="K14" s="328"/>
      <c r="M14" s="328"/>
      <c r="N14" s="288">
        <f>+'2027 RS Rate Class E-13c'!Q19</f>
        <v>1.1818520089543294</v>
      </c>
      <c r="O14" s="328" t="s">
        <v>1414</v>
      </c>
      <c r="Q14" s="125">
        <f>IF(I14=0,0,+(N14-I14)/I14)</f>
        <v>4.1180098999999935E-2</v>
      </c>
      <c r="R14" s="328"/>
      <c r="S14" s="328"/>
      <c r="T14" s="328"/>
    </row>
    <row r="15" spans="1:20" ht="14.1" customHeight="1" x14ac:dyDescent="0.2">
      <c r="A15" s="120">
        <v>3</v>
      </c>
      <c r="B15" s="328"/>
      <c r="C15" s="328"/>
      <c r="F15" s="334" t="s">
        <v>1415</v>
      </c>
      <c r="G15" s="334"/>
      <c r="H15" s="334"/>
      <c r="I15" s="288">
        <f>+'2027 RS Rate Class E-13c'!J20</f>
        <v>1.1351081432400001</v>
      </c>
      <c r="J15" s="328" t="s">
        <v>1414</v>
      </c>
      <c r="K15" s="328"/>
      <c r="L15" s="335"/>
      <c r="M15" s="335"/>
      <c r="N15" s="288">
        <f>+'2027 RS Rate Class E-13c'!Q20</f>
        <v>1.1818520089543294</v>
      </c>
      <c r="O15" s="328" t="s">
        <v>1414</v>
      </c>
      <c r="Q15" s="125">
        <f>IF(I15=0,0,+(N15-I15)/I15)</f>
        <v>4.1180098999999935E-2</v>
      </c>
      <c r="R15" s="335"/>
      <c r="S15" s="335"/>
      <c r="T15" s="335"/>
    </row>
    <row r="16" spans="1:20" ht="14.1" customHeight="1" x14ac:dyDescent="0.2">
      <c r="A16" s="120">
        <v>4</v>
      </c>
      <c r="B16" s="328"/>
      <c r="C16" s="328"/>
      <c r="F16" s="332"/>
      <c r="G16" s="332"/>
      <c r="H16" s="332"/>
      <c r="I16" s="288"/>
      <c r="J16" s="328"/>
      <c r="K16" s="328"/>
      <c r="L16" s="328"/>
      <c r="M16" s="328"/>
      <c r="N16" s="288"/>
      <c r="O16" s="328"/>
      <c r="Q16" s="363"/>
      <c r="R16" s="332"/>
      <c r="S16" s="332"/>
      <c r="T16" s="332"/>
    </row>
    <row r="17" spans="1:20" ht="14.1" customHeight="1" x14ac:dyDescent="0.2">
      <c r="A17" s="120">
        <v>5</v>
      </c>
      <c r="B17" s="328"/>
      <c r="E17" s="336" t="s">
        <v>1416</v>
      </c>
      <c r="G17" s="334"/>
      <c r="H17" s="334"/>
      <c r="I17" s="288"/>
      <c r="J17" s="335"/>
      <c r="K17" s="335"/>
      <c r="L17" s="335"/>
      <c r="M17" s="335"/>
      <c r="N17" s="288"/>
      <c r="O17" s="335"/>
      <c r="Q17" s="364"/>
      <c r="R17" s="334"/>
      <c r="S17" s="334"/>
      <c r="T17" s="334"/>
    </row>
    <row r="18" spans="1:20" ht="14.1" customHeight="1" x14ac:dyDescent="0.2">
      <c r="A18" s="120">
        <v>6</v>
      </c>
      <c r="B18" s="328"/>
      <c r="C18" s="328"/>
      <c r="F18" s="332" t="s">
        <v>327</v>
      </c>
      <c r="G18" s="334"/>
      <c r="H18" s="334"/>
      <c r="I18" s="321"/>
      <c r="K18" s="334"/>
      <c r="L18" s="334"/>
      <c r="M18" s="334"/>
      <c r="N18" s="321"/>
      <c r="Q18" s="125"/>
      <c r="R18" s="334"/>
      <c r="S18" s="334"/>
      <c r="T18" s="334"/>
    </row>
    <row r="19" spans="1:20" ht="14.1" customHeight="1" x14ac:dyDescent="0.2">
      <c r="A19" s="120">
        <v>7</v>
      </c>
      <c r="B19" s="328"/>
      <c r="C19" s="328"/>
      <c r="F19" s="337" t="s">
        <v>1417</v>
      </c>
      <c r="I19" s="338">
        <f>'2027 RS Rate Class E-13c'!J27</f>
        <v>7.9473423983683136E-2</v>
      </c>
      <c r="J19" s="334" t="s">
        <v>1418</v>
      </c>
      <c r="K19" s="334"/>
      <c r="N19" s="338">
        <f>'2027 RS Rate Class E-13c'!Q27</f>
        <v>8.274614745120018E-2</v>
      </c>
      <c r="O19" s="334" t="s">
        <v>1418</v>
      </c>
      <c r="Q19" s="125">
        <f>IF(I19=0,0,+(N19-I19)/I19)</f>
        <v>4.1180098999999977E-2</v>
      </c>
      <c r="R19" s="334"/>
      <c r="S19" s="334"/>
      <c r="T19" s="334"/>
    </row>
    <row r="20" spans="1:20" ht="14.1" customHeight="1" x14ac:dyDescent="0.2">
      <c r="A20" s="120">
        <v>8</v>
      </c>
      <c r="B20" s="328"/>
      <c r="F20" s="337" t="s">
        <v>1419</v>
      </c>
      <c r="I20" s="338">
        <f>'2027 RS Rate Class E-13c'!J28</f>
        <v>8.9473423983683131E-2</v>
      </c>
      <c r="J20" s="334" t="s">
        <v>1418</v>
      </c>
      <c r="K20" s="334"/>
      <c r="N20" s="338">
        <f>'2027 RS Rate Class E-13c'!Q28</f>
        <v>9.2746147451200175E-2</v>
      </c>
      <c r="O20" s="334" t="s">
        <v>1418</v>
      </c>
      <c r="Q20" s="125">
        <f>IF(I20=0,0,+(N20-I20)/I20)</f>
        <v>3.6577603961080958E-2</v>
      </c>
      <c r="R20" s="334"/>
      <c r="S20" s="334"/>
      <c r="T20" s="334"/>
    </row>
    <row r="21" spans="1:20" ht="14.1" customHeight="1" x14ac:dyDescent="0.2">
      <c r="A21" s="120">
        <v>9</v>
      </c>
      <c r="B21" s="328"/>
      <c r="C21" s="328"/>
      <c r="F21" s="334" t="s">
        <v>1415</v>
      </c>
      <c r="G21" s="334"/>
      <c r="H21" s="334"/>
      <c r="I21" s="338">
        <f>'2027 RS Rate Class E-13c'!J29</f>
        <v>8.3799646462193414E-2</v>
      </c>
      <c r="J21" s="334" t="s">
        <v>1418</v>
      </c>
      <c r="K21" s="334"/>
      <c r="L21" s="334"/>
      <c r="M21" s="334"/>
      <c r="N21" s="338">
        <f>'2027 RS Rate Class E-13c'!Q29</f>
        <v>8.7250524199671539E-2</v>
      </c>
      <c r="O21" s="334" t="s">
        <v>1418</v>
      </c>
      <c r="Q21" s="125">
        <f>IF(I21=0,0,+(N21-I21)/I21)</f>
        <v>4.1180099000000005E-2</v>
      </c>
      <c r="R21" s="334"/>
      <c r="S21" s="334"/>
      <c r="T21" s="334"/>
    </row>
    <row r="22" spans="1:20" ht="14.1" customHeight="1" x14ac:dyDescent="0.2">
      <c r="A22" s="120">
        <v>10</v>
      </c>
      <c r="B22" s="328"/>
      <c r="C22" s="328"/>
      <c r="F22" s="334"/>
      <c r="G22" s="334"/>
      <c r="H22" s="334"/>
      <c r="I22" s="321"/>
      <c r="J22" s="334"/>
      <c r="K22" s="334"/>
      <c r="L22" s="334"/>
      <c r="M22" s="334"/>
      <c r="N22" s="321"/>
      <c r="O22" s="334"/>
      <c r="Q22" s="125"/>
      <c r="R22" s="334"/>
      <c r="S22" s="334"/>
      <c r="T22" s="334"/>
    </row>
    <row r="23" spans="1:20" ht="14.1" customHeight="1" x14ac:dyDescent="0.2">
      <c r="A23" s="120">
        <v>11</v>
      </c>
      <c r="B23" s="328"/>
      <c r="C23" s="328"/>
      <c r="E23" s="113" t="s">
        <v>1293</v>
      </c>
      <c r="F23" s="334"/>
      <c r="G23" s="334"/>
      <c r="H23" s="334"/>
      <c r="I23" s="339">
        <v>-10</v>
      </c>
      <c r="J23" s="334" t="s">
        <v>1420</v>
      </c>
      <c r="K23" s="334"/>
      <c r="L23" s="334"/>
      <c r="M23" s="334"/>
      <c r="N23" s="339">
        <v>-10</v>
      </c>
      <c r="O23" s="334" t="s">
        <v>1420</v>
      </c>
      <c r="Q23" s="125">
        <v>0</v>
      </c>
      <c r="R23" s="334"/>
      <c r="S23" s="334"/>
      <c r="T23" s="334"/>
    </row>
    <row r="24" spans="1:20" ht="14.1" customHeight="1" x14ac:dyDescent="0.2">
      <c r="A24" s="120">
        <v>12</v>
      </c>
      <c r="B24" s="328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Q24" s="334"/>
      <c r="R24" s="334"/>
      <c r="S24" s="334"/>
      <c r="T24" s="334"/>
    </row>
    <row r="25" spans="1:20" ht="14.1" customHeight="1" x14ac:dyDescent="0.2">
      <c r="A25" s="120">
        <v>13</v>
      </c>
      <c r="B25" s="328"/>
      <c r="C25" s="328"/>
      <c r="F25" s="334"/>
      <c r="G25" s="334"/>
      <c r="H25" s="334"/>
      <c r="I25" s="334"/>
      <c r="J25" s="334"/>
      <c r="K25" s="334"/>
      <c r="L25" s="334"/>
      <c r="M25" s="334"/>
      <c r="N25" s="334"/>
      <c r="O25" s="334"/>
      <c r="Q25" s="334"/>
      <c r="R25" s="334"/>
      <c r="S25" s="334"/>
      <c r="T25" s="334"/>
    </row>
    <row r="26" spans="1:20" ht="14.1" customHeight="1" x14ac:dyDescent="0.2">
      <c r="A26" s="120">
        <v>14</v>
      </c>
      <c r="B26" s="328"/>
      <c r="C26" s="328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Q26" s="334"/>
      <c r="R26" s="334"/>
      <c r="S26" s="334"/>
      <c r="T26" s="334"/>
    </row>
    <row r="27" spans="1:20" ht="14.1" customHeight="1" x14ac:dyDescent="0.2">
      <c r="A27" s="120">
        <v>15</v>
      </c>
      <c r="B27" s="328"/>
      <c r="C27" s="328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Q27" s="334"/>
      <c r="R27" s="334"/>
      <c r="S27" s="334"/>
      <c r="T27" s="334"/>
    </row>
    <row r="28" spans="1:20" ht="14.1" customHeight="1" x14ac:dyDescent="0.2">
      <c r="A28" s="120">
        <v>16</v>
      </c>
      <c r="B28" s="328"/>
      <c r="F28" s="334"/>
      <c r="G28" s="334"/>
      <c r="H28" s="334"/>
      <c r="I28" s="334"/>
      <c r="J28" s="334"/>
      <c r="K28" s="334"/>
      <c r="L28" s="334"/>
      <c r="M28" s="334"/>
      <c r="N28" s="334"/>
      <c r="O28" s="334"/>
      <c r="Q28" s="334"/>
      <c r="R28" s="334"/>
      <c r="S28" s="334"/>
      <c r="T28" s="334"/>
    </row>
    <row r="29" spans="1:20" ht="14.1" customHeight="1" x14ac:dyDescent="0.2">
      <c r="A29" s="120">
        <v>17</v>
      </c>
      <c r="B29" s="328"/>
      <c r="C29" s="328"/>
      <c r="F29" s="334"/>
      <c r="G29" s="334"/>
      <c r="H29" s="334"/>
      <c r="I29" s="334"/>
      <c r="J29" s="334"/>
      <c r="K29" s="334"/>
      <c r="L29" s="334"/>
      <c r="M29" s="334"/>
      <c r="N29" s="334"/>
      <c r="O29" s="334"/>
      <c r="Q29" s="334"/>
      <c r="R29" s="334"/>
      <c r="S29" s="334"/>
      <c r="T29" s="334"/>
    </row>
    <row r="30" spans="1:20" ht="14.1" customHeight="1" x14ac:dyDescent="0.2">
      <c r="A30" s="120">
        <v>18</v>
      </c>
      <c r="B30" s="328"/>
      <c r="C30" s="328"/>
      <c r="F30" s="334"/>
      <c r="G30" s="334"/>
      <c r="H30" s="334"/>
      <c r="I30" s="334"/>
      <c r="J30" s="334"/>
      <c r="K30" s="334"/>
      <c r="L30" s="334"/>
      <c r="M30" s="334"/>
      <c r="N30" s="334"/>
      <c r="O30" s="334"/>
      <c r="Q30" s="334"/>
      <c r="R30" s="334"/>
      <c r="S30" s="334"/>
      <c r="T30" s="334"/>
    </row>
    <row r="31" spans="1:20" ht="14.1" customHeight="1" x14ac:dyDescent="0.2">
      <c r="A31" s="120">
        <v>19</v>
      </c>
      <c r="B31" s="328"/>
      <c r="C31" s="328"/>
      <c r="F31" s="334"/>
      <c r="G31" s="334"/>
      <c r="H31" s="334"/>
      <c r="I31" s="334"/>
      <c r="J31" s="334"/>
      <c r="K31" s="334"/>
      <c r="L31" s="334"/>
      <c r="M31" s="334"/>
      <c r="N31" s="334"/>
      <c r="O31" s="334"/>
      <c r="Q31" s="334"/>
      <c r="R31" s="334"/>
      <c r="S31" s="334"/>
      <c r="T31" s="334"/>
    </row>
    <row r="32" spans="1:20" ht="14.1" customHeight="1" x14ac:dyDescent="0.2">
      <c r="A32" s="120">
        <v>20</v>
      </c>
      <c r="B32" s="328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Q32" s="334"/>
      <c r="R32" s="334"/>
      <c r="S32" s="334"/>
      <c r="T32" s="334"/>
    </row>
    <row r="33" spans="1:20" ht="14.1" customHeight="1" x14ac:dyDescent="0.2">
      <c r="A33" s="120">
        <v>21</v>
      </c>
      <c r="B33" s="328"/>
      <c r="C33" s="328"/>
      <c r="F33" s="334"/>
      <c r="G33" s="334"/>
      <c r="H33" s="334"/>
      <c r="I33" s="334"/>
      <c r="J33" s="335"/>
      <c r="K33" s="335"/>
      <c r="L33" s="334"/>
      <c r="M33" s="335"/>
      <c r="N33" s="334"/>
      <c r="O33" s="334"/>
      <c r="Q33" s="334"/>
      <c r="R33" s="334"/>
      <c r="S33" s="334"/>
      <c r="T33" s="334"/>
    </row>
    <row r="34" spans="1:20" ht="14.1" customHeight="1" x14ac:dyDescent="0.2">
      <c r="A34" s="120">
        <v>22</v>
      </c>
      <c r="B34" s="328"/>
      <c r="C34" s="328"/>
      <c r="F34" s="334"/>
      <c r="G34" s="334"/>
      <c r="H34" s="334"/>
      <c r="I34" s="334"/>
      <c r="J34" s="335"/>
      <c r="K34" s="335"/>
      <c r="L34" s="334"/>
      <c r="M34" s="335"/>
      <c r="N34" s="334"/>
      <c r="O34" s="334"/>
      <c r="Q34" s="334"/>
      <c r="R34" s="334"/>
      <c r="S34" s="334"/>
      <c r="T34" s="334"/>
    </row>
    <row r="35" spans="1:20" ht="14.1" customHeight="1" x14ac:dyDescent="0.2">
      <c r="A35" s="120">
        <v>23</v>
      </c>
      <c r="B35" s="328"/>
      <c r="F35" s="334"/>
      <c r="G35" s="334"/>
      <c r="H35" s="334"/>
      <c r="I35" s="334"/>
      <c r="J35" s="335"/>
      <c r="K35" s="335"/>
      <c r="L35" s="334"/>
      <c r="M35" s="335"/>
      <c r="N35" s="334"/>
      <c r="O35" s="334"/>
      <c r="Q35" s="334"/>
      <c r="R35" s="334"/>
      <c r="S35" s="334"/>
      <c r="T35" s="334"/>
    </row>
    <row r="36" spans="1:20" ht="14.1" customHeight="1" x14ac:dyDescent="0.2">
      <c r="A36" s="120">
        <v>24</v>
      </c>
      <c r="B36" s="328"/>
      <c r="C36" s="328"/>
      <c r="F36" s="334"/>
      <c r="G36" s="334"/>
      <c r="H36" s="334"/>
      <c r="I36" s="334"/>
      <c r="J36" s="335"/>
      <c r="K36" s="335"/>
      <c r="L36" s="334"/>
      <c r="M36" s="335"/>
      <c r="N36" s="334"/>
      <c r="O36" s="334"/>
      <c r="Q36" s="334"/>
      <c r="R36" s="334"/>
      <c r="S36" s="334"/>
      <c r="T36" s="334"/>
    </row>
    <row r="37" spans="1:20" ht="14.1" customHeight="1" x14ac:dyDescent="0.2">
      <c r="A37" s="120">
        <v>25</v>
      </c>
      <c r="B37" s="328"/>
      <c r="C37" s="328"/>
      <c r="G37" s="334"/>
      <c r="H37" s="334"/>
      <c r="I37" s="334"/>
      <c r="J37" s="335"/>
      <c r="K37" s="335"/>
      <c r="L37" s="334"/>
      <c r="M37" s="335"/>
      <c r="N37" s="334"/>
      <c r="O37" s="334"/>
      <c r="Q37" s="334"/>
      <c r="R37" s="334"/>
      <c r="S37" s="334"/>
      <c r="T37" s="334"/>
    </row>
    <row r="38" spans="1:20" ht="14.1" customHeight="1" x14ac:dyDescent="0.2">
      <c r="A38" s="120">
        <v>26</v>
      </c>
      <c r="B38" s="328"/>
      <c r="C38" s="328"/>
      <c r="F38" s="334"/>
      <c r="G38" s="334"/>
      <c r="H38" s="334"/>
      <c r="I38" s="334"/>
      <c r="J38" s="335"/>
      <c r="K38" s="335"/>
      <c r="L38" s="334"/>
      <c r="M38" s="335"/>
      <c r="N38" s="334"/>
      <c r="O38" s="334"/>
      <c r="Q38" s="334"/>
      <c r="R38" s="334"/>
      <c r="S38" s="334"/>
      <c r="T38" s="334"/>
    </row>
    <row r="39" spans="1:20" ht="14.1" customHeight="1" x14ac:dyDescent="0.2">
      <c r="A39" s="120">
        <v>27</v>
      </c>
      <c r="B39" s="328"/>
      <c r="C39" s="328"/>
      <c r="F39" s="334"/>
      <c r="G39" s="334"/>
      <c r="H39" s="334"/>
      <c r="I39" s="334"/>
      <c r="J39" s="335"/>
      <c r="K39" s="335"/>
      <c r="L39" s="334"/>
      <c r="M39" s="335"/>
      <c r="N39" s="334"/>
      <c r="O39" s="334"/>
      <c r="Q39" s="334"/>
      <c r="R39" s="334"/>
      <c r="S39" s="334"/>
      <c r="T39" s="334"/>
    </row>
    <row r="40" spans="1:20" ht="14.1" customHeight="1" x14ac:dyDescent="0.2">
      <c r="A40" s="120">
        <v>28</v>
      </c>
      <c r="B40" s="328"/>
      <c r="C40" s="328"/>
      <c r="F40" s="334"/>
      <c r="G40" s="334"/>
      <c r="H40" s="334"/>
      <c r="I40" s="334"/>
      <c r="J40" s="335"/>
      <c r="K40" s="335"/>
      <c r="L40" s="334"/>
      <c r="M40" s="335"/>
      <c r="N40" s="334"/>
      <c r="O40" s="334"/>
      <c r="Q40" s="334"/>
      <c r="R40" s="334"/>
      <c r="S40" s="334"/>
      <c r="T40" s="334"/>
    </row>
    <row r="41" spans="1:20" ht="14.1" customHeight="1" x14ac:dyDescent="0.2">
      <c r="A41" s="120">
        <v>29</v>
      </c>
      <c r="B41" s="328"/>
      <c r="C41" s="328"/>
      <c r="F41" s="334"/>
      <c r="G41" s="334"/>
      <c r="H41" s="334"/>
      <c r="I41" s="334"/>
      <c r="J41" s="335"/>
      <c r="K41" s="335"/>
      <c r="L41" s="334"/>
      <c r="M41" s="335"/>
      <c r="N41" s="334"/>
      <c r="O41" s="334"/>
      <c r="Q41" s="334"/>
      <c r="R41" s="334"/>
      <c r="S41" s="334"/>
      <c r="T41" s="334"/>
    </row>
    <row r="42" spans="1:20" ht="14.1" customHeight="1" x14ac:dyDescent="0.2">
      <c r="A42" s="120">
        <v>30</v>
      </c>
      <c r="B42" s="328"/>
      <c r="C42" s="328"/>
      <c r="F42" s="334"/>
      <c r="G42" s="334"/>
      <c r="H42" s="334"/>
      <c r="I42" s="334"/>
      <c r="J42" s="335"/>
      <c r="K42" s="335"/>
      <c r="L42" s="334"/>
      <c r="M42" s="335"/>
      <c r="N42" s="334"/>
      <c r="O42" s="334"/>
      <c r="Q42" s="334"/>
      <c r="R42" s="334"/>
      <c r="S42" s="334"/>
      <c r="T42" s="334"/>
    </row>
    <row r="43" spans="1:20" ht="14.1" customHeight="1" x14ac:dyDescent="0.2">
      <c r="A43" s="120">
        <v>31</v>
      </c>
      <c r="B43" s="328"/>
      <c r="C43" s="328"/>
      <c r="F43" s="334"/>
      <c r="G43" s="334"/>
      <c r="H43" s="334"/>
      <c r="I43" s="334"/>
      <c r="J43" s="335"/>
      <c r="K43" s="335"/>
      <c r="L43" s="334"/>
      <c r="M43" s="335"/>
      <c r="N43" s="334"/>
      <c r="O43" s="334"/>
      <c r="Q43" s="334"/>
      <c r="R43" s="334"/>
      <c r="S43" s="334"/>
      <c r="T43" s="334"/>
    </row>
    <row r="44" spans="1:20" ht="14.1" customHeight="1" x14ac:dyDescent="0.2">
      <c r="A44" s="120">
        <v>32</v>
      </c>
      <c r="B44" s="328"/>
      <c r="C44" s="328"/>
      <c r="F44" s="334"/>
      <c r="G44" s="334"/>
      <c r="H44" s="334"/>
      <c r="I44" s="334"/>
      <c r="J44" s="335"/>
      <c r="K44" s="335"/>
      <c r="L44" s="334"/>
      <c r="M44" s="335"/>
      <c r="N44" s="334"/>
      <c r="O44" s="334"/>
      <c r="Q44" s="334"/>
      <c r="R44" s="334"/>
      <c r="S44" s="334"/>
      <c r="T44" s="334"/>
    </row>
    <row r="45" spans="1:20" ht="14.1" customHeight="1" x14ac:dyDescent="0.2">
      <c r="A45" s="120">
        <v>33</v>
      </c>
      <c r="B45" s="328"/>
      <c r="C45" s="328"/>
      <c r="F45" s="334"/>
      <c r="G45" s="334"/>
      <c r="H45" s="334"/>
      <c r="I45" s="334"/>
      <c r="J45" s="335"/>
      <c r="K45" s="335"/>
      <c r="L45" s="334"/>
      <c r="M45" s="335"/>
      <c r="N45" s="334"/>
      <c r="O45" s="334"/>
      <c r="Q45" s="334"/>
      <c r="R45" s="334"/>
      <c r="S45" s="334"/>
      <c r="T45" s="334"/>
    </row>
    <row r="46" spans="1:20" ht="14.1" customHeight="1" x14ac:dyDescent="0.2">
      <c r="A46" s="120">
        <v>34</v>
      </c>
      <c r="B46" s="328"/>
      <c r="F46" s="334"/>
      <c r="G46" s="334"/>
      <c r="H46" s="334"/>
      <c r="I46" s="334"/>
      <c r="J46" s="335"/>
      <c r="K46" s="335"/>
      <c r="L46" s="334"/>
      <c r="M46" s="335"/>
      <c r="N46" s="334"/>
      <c r="O46" s="334"/>
      <c r="Q46" s="334"/>
      <c r="R46" s="334"/>
      <c r="S46" s="334"/>
      <c r="T46" s="334"/>
    </row>
    <row r="47" spans="1:20" ht="14.1" customHeight="1" x14ac:dyDescent="0.2">
      <c r="A47" s="120">
        <v>35</v>
      </c>
      <c r="B47" s="328"/>
      <c r="C47" s="334"/>
      <c r="F47" s="334"/>
      <c r="G47" s="334"/>
      <c r="H47" s="334"/>
      <c r="I47" s="334"/>
      <c r="J47" s="335"/>
      <c r="K47" s="335"/>
      <c r="L47" s="334"/>
      <c r="M47" s="335"/>
      <c r="N47" s="334"/>
      <c r="O47" s="334"/>
      <c r="Q47" s="334"/>
      <c r="R47" s="334"/>
      <c r="S47" s="334"/>
      <c r="T47" s="334"/>
    </row>
    <row r="48" spans="1:20" ht="14.1" customHeight="1" thickBot="1" x14ac:dyDescent="0.25">
      <c r="A48" s="118">
        <v>36</v>
      </c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</row>
    <row r="49" spans="1:20" ht="14.1" customHeight="1" x14ac:dyDescent="0.2">
      <c r="A49" s="113" t="s">
        <v>1421</v>
      </c>
      <c r="R49" s="113" t="s">
        <v>1369</v>
      </c>
    </row>
    <row r="50" spans="1:20" ht="14.1" customHeight="1" thickBot="1" x14ac:dyDescent="0.25">
      <c r="A50" s="114" t="str">
        <f>+$A$2</f>
        <v>SCHEDULE A-3</v>
      </c>
      <c r="B50" s="114"/>
      <c r="C50" s="114"/>
      <c r="D50" s="114"/>
      <c r="E50" s="114"/>
      <c r="F50" s="114"/>
      <c r="G50" s="114"/>
      <c r="H50" s="114"/>
      <c r="I50" s="114" t="str">
        <f>+$I$2</f>
        <v>SUMMARY OF TARIFFS</v>
      </c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263" t="s">
        <v>1422</v>
      </c>
    </row>
    <row r="51" spans="1:20" ht="14.1" customHeight="1" x14ac:dyDescent="0.2">
      <c r="A51" s="113" t="s">
        <v>307</v>
      </c>
      <c r="F51" s="117" t="s">
        <v>1405</v>
      </c>
      <c r="G51" s="113" t="s">
        <v>1406</v>
      </c>
      <c r="L51" s="115"/>
      <c r="M51" s="115"/>
      <c r="O51" s="115"/>
      <c r="P51" s="115"/>
      <c r="Q51" s="115" t="s">
        <v>845</v>
      </c>
      <c r="T51" s="116"/>
    </row>
    <row r="52" spans="1:20" ht="14.1" customHeight="1" x14ac:dyDescent="0.2">
      <c r="G52" s="113" t="s">
        <v>1407</v>
      </c>
      <c r="L52" s="117"/>
      <c r="M52" s="116"/>
      <c r="P52" s="117"/>
      <c r="Q52" s="11" t="s">
        <v>916</v>
      </c>
      <c r="R52" s="10" t="s">
        <v>1512</v>
      </c>
      <c r="T52" s="117"/>
    </row>
    <row r="53" spans="1:20" ht="14.1" customHeight="1" x14ac:dyDescent="0.2">
      <c r="A53" s="113" t="s">
        <v>310</v>
      </c>
      <c r="L53" s="117"/>
      <c r="M53" s="116"/>
      <c r="N53" s="117"/>
      <c r="Q53" s="11"/>
      <c r="R53" s="10"/>
      <c r="T53" s="117"/>
    </row>
    <row r="54" spans="1:20" ht="14.1" customHeight="1" x14ac:dyDescent="0.2">
      <c r="L54" s="117"/>
      <c r="M54" s="116"/>
      <c r="N54" s="117"/>
      <c r="Q54" s="11"/>
      <c r="R54" s="10"/>
      <c r="T54" s="117"/>
    </row>
    <row r="55" spans="1:20" ht="14.1" customHeight="1" thickBot="1" x14ac:dyDescent="0.25">
      <c r="A55" s="114" t="s">
        <v>1520</v>
      </c>
      <c r="B55" s="114"/>
      <c r="C55" s="114"/>
      <c r="D55" s="114"/>
      <c r="E55" s="114"/>
      <c r="F55" s="114"/>
      <c r="G55" s="114"/>
      <c r="H55" s="114"/>
      <c r="I55" s="118"/>
      <c r="J55" s="114"/>
      <c r="K55" s="114"/>
      <c r="L55" s="114"/>
      <c r="M55" s="114"/>
      <c r="N55" s="114"/>
      <c r="O55" s="114"/>
      <c r="P55" s="114"/>
      <c r="Q55" s="114"/>
      <c r="R55" s="114" t="s">
        <v>1519</v>
      </c>
      <c r="S55" s="114"/>
      <c r="T55" s="114"/>
    </row>
    <row r="56" spans="1:20" ht="14.1" customHeight="1" x14ac:dyDescent="0.2">
      <c r="A56" s="113" t="str">
        <f>IF(+A$8="","",A$8)</f>
        <v/>
      </c>
      <c r="B56" s="120" t="str">
        <f t="shared" ref="B56:T56" si="0">IF(+B$8="","",B$8)</f>
        <v/>
      </c>
      <c r="C56" s="120" t="str">
        <f t="shared" si="0"/>
        <v>(1)</v>
      </c>
      <c r="D56" s="120" t="str">
        <f t="shared" si="0"/>
        <v/>
      </c>
      <c r="E56" s="120" t="str">
        <f t="shared" si="0"/>
        <v/>
      </c>
      <c r="F56" s="120" t="str">
        <f t="shared" si="0"/>
        <v>(2)</v>
      </c>
      <c r="G56" s="120" t="str">
        <f t="shared" si="0"/>
        <v/>
      </c>
      <c r="H56" s="120" t="str">
        <f>IF(+H$8="","",H$8)</f>
        <v/>
      </c>
      <c r="I56" s="120" t="str">
        <f>IF(+I$8="","",I$8)</f>
        <v>(3)</v>
      </c>
      <c r="J56" s="120" t="str">
        <f>IF(+J$8="","",J$8)</f>
        <v/>
      </c>
      <c r="K56" s="120"/>
      <c r="L56" s="120" t="str">
        <f t="shared" si="0"/>
        <v>(4)</v>
      </c>
      <c r="M56" s="120" t="str">
        <f t="shared" si="0"/>
        <v/>
      </c>
      <c r="N56" s="120" t="str">
        <f t="shared" si="0"/>
        <v>(5)</v>
      </c>
      <c r="O56" s="120" t="str">
        <f t="shared" si="0"/>
        <v/>
      </c>
      <c r="Q56" s="120" t="str">
        <f>IF(+Q$8="","",Q$8)</f>
        <v>(6)</v>
      </c>
      <c r="R56" s="120" t="str">
        <f t="shared" si="0"/>
        <v/>
      </c>
      <c r="S56" s="120" t="str">
        <f t="shared" si="0"/>
        <v/>
      </c>
      <c r="T56" s="120" t="str">
        <f t="shared" si="0"/>
        <v/>
      </c>
    </row>
    <row r="57" spans="1:20" ht="14.1" customHeight="1" x14ac:dyDescent="0.2">
      <c r="A57" s="113" t="str">
        <f>IF(+A$9="","",A$9)</f>
        <v/>
      </c>
      <c r="B57" s="120" t="str">
        <f t="shared" ref="B57:T57" si="1">IF(+B$9="","",B$9)</f>
        <v/>
      </c>
      <c r="C57" s="120" t="str">
        <f t="shared" si="1"/>
        <v/>
      </c>
      <c r="D57" s="120" t="str">
        <f t="shared" si="1"/>
        <v/>
      </c>
      <c r="E57" s="120" t="str">
        <f t="shared" si="1"/>
        <v/>
      </c>
      <c r="F57" s="120" t="str">
        <f t="shared" si="1"/>
        <v/>
      </c>
      <c r="G57" s="120" t="str">
        <f t="shared" si="1"/>
        <v/>
      </c>
      <c r="H57" s="120" t="str">
        <f>IF(+H$9="","",H$9)</f>
        <v/>
      </c>
      <c r="I57" s="120" t="str">
        <f>IF(+I$9="","",I$9)</f>
        <v/>
      </c>
      <c r="J57" s="120" t="str">
        <f>IF(+J$9="","",J$9)</f>
        <v/>
      </c>
      <c r="K57" s="120"/>
      <c r="L57" s="120" t="str">
        <f t="shared" si="1"/>
        <v/>
      </c>
      <c r="M57" s="120" t="str">
        <f t="shared" si="1"/>
        <v/>
      </c>
      <c r="N57" s="120" t="str">
        <f t="shared" si="1"/>
        <v/>
      </c>
      <c r="O57" s="120" t="str">
        <f t="shared" si="1"/>
        <v/>
      </c>
      <c r="Q57" s="120" t="str">
        <f>IF(+Q$9="","",Q$9)</f>
        <v/>
      </c>
      <c r="R57" s="120" t="str">
        <f t="shared" si="1"/>
        <v/>
      </c>
      <c r="S57" s="120" t="str">
        <f t="shared" si="1"/>
        <v/>
      </c>
      <c r="T57" s="120" t="str">
        <f t="shared" si="1"/>
        <v/>
      </c>
    </row>
    <row r="58" spans="1:20" ht="14.1" customHeight="1" x14ac:dyDescent="0.2">
      <c r="A58" s="113" t="str">
        <f>IF(+A$10="","",A$10)</f>
        <v/>
      </c>
      <c r="B58" s="120" t="str">
        <f t="shared" ref="B58:T58" si="2">IF(+B$10="","",B$10)</f>
        <v/>
      </c>
      <c r="C58" s="120" t="str">
        <f t="shared" si="2"/>
        <v xml:space="preserve">Current </v>
      </c>
      <c r="D58" s="120" t="str">
        <f t="shared" si="2"/>
        <v/>
      </c>
      <c r="E58" s="120" t="str">
        <f t="shared" si="2"/>
        <v/>
      </c>
      <c r="F58" s="120" t="str">
        <f t="shared" si="2"/>
        <v/>
      </c>
      <c r="G58" s="120" t="str">
        <f t="shared" si="2"/>
        <v/>
      </c>
      <c r="H58" s="120" t="str">
        <f>IF(+H$10="","",H$10)</f>
        <v/>
      </c>
      <c r="I58" s="120" t="str">
        <f>IF(+I$10="","",I$10)</f>
        <v/>
      </c>
      <c r="J58" s="120" t="str">
        <f>IF(+J$10="","",J$10)</f>
        <v/>
      </c>
      <c r="K58" s="120"/>
      <c r="L58" s="120" t="str">
        <f t="shared" si="2"/>
        <v>Proposed</v>
      </c>
      <c r="M58" s="120" t="str">
        <f t="shared" si="2"/>
        <v/>
      </c>
      <c r="N58" s="120" t="str">
        <f t="shared" si="2"/>
        <v/>
      </c>
      <c r="O58" s="120" t="str">
        <f t="shared" si="2"/>
        <v/>
      </c>
      <c r="Q58" s="120" t="str">
        <f>IF(+Q$10="","",Q$10)</f>
        <v>Percent</v>
      </c>
      <c r="R58" s="120" t="str">
        <f t="shared" si="2"/>
        <v/>
      </c>
      <c r="S58" s="120" t="str">
        <f t="shared" si="2"/>
        <v/>
      </c>
      <c r="T58" s="120" t="str">
        <f t="shared" si="2"/>
        <v/>
      </c>
    </row>
    <row r="59" spans="1:20" ht="14.1" customHeight="1" x14ac:dyDescent="0.2">
      <c r="A59" s="120" t="str">
        <f>IF(+A$11="","",A$11)</f>
        <v>Line</v>
      </c>
      <c r="B59" s="120" t="str">
        <f t="shared" ref="B59:T59" si="3">IF(+B$11="","",B$11)</f>
        <v/>
      </c>
      <c r="C59" s="120" t="str">
        <f t="shared" si="3"/>
        <v>Rate</v>
      </c>
      <c r="D59" s="120" t="str">
        <f t="shared" si="3"/>
        <v/>
      </c>
      <c r="E59" s="120" t="str">
        <f t="shared" si="3"/>
        <v/>
      </c>
      <c r="F59" s="120" t="str">
        <f t="shared" si="3"/>
        <v/>
      </c>
      <c r="G59" s="120" t="str">
        <f t="shared" si="3"/>
        <v/>
      </c>
      <c r="H59" s="120" t="str">
        <f>IF(+H$11="","",H$11)</f>
        <v/>
      </c>
      <c r="I59" s="120" t="str">
        <f>IF(+I$11="","",I$11)</f>
        <v>Current</v>
      </c>
      <c r="J59" s="120" t="str">
        <f>IF(+J$11="","",J$11)</f>
        <v/>
      </c>
      <c r="K59" s="120"/>
      <c r="L59" s="120" t="str">
        <f t="shared" si="3"/>
        <v>Rate</v>
      </c>
      <c r="M59" s="120" t="str">
        <f t="shared" si="3"/>
        <v/>
      </c>
      <c r="N59" s="120" t="str">
        <f t="shared" si="3"/>
        <v>Proposed</v>
      </c>
      <c r="O59" s="120" t="str">
        <f t="shared" si="3"/>
        <v/>
      </c>
      <c r="Q59" s="120" t="str">
        <f>IF(+Q$11="","",Q$11)</f>
        <v>Increase</v>
      </c>
      <c r="R59" s="120" t="str">
        <f t="shared" si="3"/>
        <v/>
      </c>
      <c r="S59" s="120" t="str">
        <f t="shared" si="3"/>
        <v/>
      </c>
      <c r="T59" s="120" t="str">
        <f t="shared" si="3"/>
        <v/>
      </c>
    </row>
    <row r="60" spans="1:20" ht="14.1" customHeight="1" thickBot="1" x14ac:dyDescent="0.25">
      <c r="A60" s="118" t="str">
        <f>IF(+A$12="","",A$12)</f>
        <v>No.</v>
      </c>
      <c r="B60" s="118" t="str">
        <f t="shared" ref="B60:T60" si="4">IF(+B$12="","",B$12)</f>
        <v/>
      </c>
      <c r="C60" s="118" t="str">
        <f t="shared" si="4"/>
        <v>Schedule</v>
      </c>
      <c r="D60" s="118" t="str">
        <f t="shared" si="4"/>
        <v/>
      </c>
      <c r="E60" s="118"/>
      <c r="F60" s="118" t="str">
        <f t="shared" si="4"/>
        <v>Type of Charge</v>
      </c>
      <c r="G60" s="118"/>
      <c r="H60" s="118" t="str">
        <f>IF(+H$12="","",H$12)</f>
        <v/>
      </c>
      <c r="I60" s="118" t="str">
        <f>IF(+I$12="","",I$12)</f>
        <v>Rate</v>
      </c>
      <c r="J60" s="118" t="str">
        <f>IF(+J$12="","",J$12)</f>
        <v/>
      </c>
      <c r="K60" s="118"/>
      <c r="L60" s="118" t="str">
        <f t="shared" si="4"/>
        <v>Schedule</v>
      </c>
      <c r="M60" s="118" t="str">
        <f t="shared" si="4"/>
        <v/>
      </c>
      <c r="N60" s="118" t="str">
        <f t="shared" si="4"/>
        <v>Rate</v>
      </c>
      <c r="O60" s="118" t="str">
        <f t="shared" si="4"/>
        <v/>
      </c>
      <c r="P60" s="114"/>
      <c r="Q60" s="118" t="str">
        <f>IF(+Q$12="","",Q$12)</f>
        <v>((5)-(3))/(3)</v>
      </c>
      <c r="R60" s="118" t="str">
        <f t="shared" si="4"/>
        <v/>
      </c>
      <c r="S60" s="118" t="str">
        <f t="shared" si="4"/>
        <v/>
      </c>
      <c r="T60" s="118" t="str">
        <f t="shared" si="4"/>
        <v/>
      </c>
    </row>
    <row r="61" spans="1:20" ht="14.1" customHeight="1" x14ac:dyDescent="0.2">
      <c r="A61" s="120">
        <v>1</v>
      </c>
      <c r="B61" s="340"/>
      <c r="C61" s="329" t="s">
        <v>353</v>
      </c>
      <c r="D61" s="328"/>
      <c r="E61" s="330" t="s">
        <v>326</v>
      </c>
      <c r="F61" s="331"/>
      <c r="G61" s="332"/>
      <c r="H61" s="332"/>
      <c r="I61" s="333"/>
      <c r="J61" s="328"/>
      <c r="K61" s="328"/>
      <c r="L61" s="329" t="s">
        <v>353</v>
      </c>
      <c r="M61" s="328"/>
      <c r="N61" s="328"/>
      <c r="O61" s="328"/>
      <c r="Q61" s="328"/>
      <c r="R61" s="137"/>
      <c r="S61" s="137"/>
      <c r="T61" s="137"/>
    </row>
    <row r="62" spans="1:20" ht="14.1" customHeight="1" x14ac:dyDescent="0.2">
      <c r="A62" s="120">
        <v>2</v>
      </c>
      <c r="B62" s="276"/>
      <c r="C62" s="328"/>
      <c r="F62" s="332" t="s">
        <v>327</v>
      </c>
      <c r="G62" s="332"/>
      <c r="H62" s="332"/>
      <c r="I62" s="288">
        <f>'2027 GS Rate Class E-13c'!J19</f>
        <v>1.3453052596000001</v>
      </c>
      <c r="J62" s="328" t="s">
        <v>1414</v>
      </c>
      <c r="K62" s="328"/>
      <c r="M62" s="328"/>
      <c r="N62" s="288">
        <f>'2027 GS Rate Class E-13c'!Q19</f>
        <v>1.3993700712260688</v>
      </c>
      <c r="O62" s="328" t="s">
        <v>1414</v>
      </c>
      <c r="Q62" s="125">
        <f>IF(I62=0,0,+(N62-I62)/I62)</f>
        <v>4.0187764999999917E-2</v>
      </c>
      <c r="R62" s="137"/>
      <c r="S62" s="137"/>
      <c r="T62" s="137"/>
    </row>
    <row r="63" spans="1:20" ht="14.1" customHeight="1" x14ac:dyDescent="0.2">
      <c r="A63" s="120">
        <v>3</v>
      </c>
      <c r="B63" s="276"/>
      <c r="C63" s="328"/>
      <c r="F63" s="113" t="s">
        <v>1423</v>
      </c>
      <c r="G63" s="334"/>
      <c r="H63" s="334"/>
      <c r="I63" s="288">
        <f>'2027 GS Rate Class E-13c'!J20</f>
        <v>1.1228532088000001</v>
      </c>
      <c r="J63" s="328" t="s">
        <v>1414</v>
      </c>
      <c r="K63" s="328"/>
      <c r="L63" s="335"/>
      <c r="M63" s="335"/>
      <c r="N63" s="288">
        <f>'2027 GS Rate Class E-13c'!Q20</f>
        <v>1.1679781696847504</v>
      </c>
      <c r="O63" s="328" t="s">
        <v>1414</v>
      </c>
      <c r="Q63" s="125">
        <f>IF(I63=0,0,+(N63-I63)/I63)</f>
        <v>4.0187765000000035E-2</v>
      </c>
      <c r="R63" s="137"/>
      <c r="S63" s="137"/>
      <c r="T63" s="137"/>
    </row>
    <row r="64" spans="1:20" ht="14.1" customHeight="1" x14ac:dyDescent="0.2">
      <c r="A64" s="120">
        <v>4</v>
      </c>
      <c r="B64" s="276"/>
      <c r="C64" s="328"/>
      <c r="F64" s="334" t="s">
        <v>1424</v>
      </c>
      <c r="G64" s="332"/>
      <c r="H64" s="332"/>
      <c r="I64" s="288">
        <f>'2027 GS Rate Class E-13c'!J21</f>
        <v>1.3453052596000001</v>
      </c>
      <c r="J64" s="328" t="s">
        <v>1414</v>
      </c>
      <c r="K64" s="328"/>
      <c r="L64" s="328"/>
      <c r="M64" s="328"/>
      <c r="N64" s="288">
        <f>'2027 GS Rate Class E-13c'!Q21</f>
        <v>1.3993700712260688</v>
      </c>
      <c r="O64" s="328" t="s">
        <v>1414</v>
      </c>
      <c r="Q64" s="125">
        <f>IF(I64=0,0,+(N64-I64)/I64)</f>
        <v>4.0187764999999917E-2</v>
      </c>
      <c r="R64" s="128"/>
      <c r="S64" s="128"/>
      <c r="T64" s="128"/>
    </row>
    <row r="65" spans="1:20" ht="14.1" customHeight="1" x14ac:dyDescent="0.2">
      <c r="A65" s="120">
        <v>5</v>
      </c>
      <c r="B65" s="276"/>
      <c r="Q65" s="141"/>
      <c r="R65" s="128"/>
      <c r="S65" s="128"/>
      <c r="T65" s="128"/>
    </row>
    <row r="66" spans="1:20" ht="14.1" customHeight="1" x14ac:dyDescent="0.2">
      <c r="A66" s="120">
        <v>6</v>
      </c>
      <c r="B66" s="276"/>
      <c r="C66" s="328"/>
      <c r="E66" s="341" t="s">
        <v>1416</v>
      </c>
      <c r="G66" s="334"/>
      <c r="H66" s="334"/>
      <c r="I66" s="288"/>
      <c r="J66" s="335"/>
      <c r="K66" s="335"/>
      <c r="L66" s="335"/>
      <c r="M66" s="335"/>
      <c r="N66" s="288"/>
      <c r="O66" s="335"/>
      <c r="Q66" s="364"/>
      <c r="R66" s="128"/>
      <c r="S66" s="128"/>
      <c r="T66" s="128"/>
    </row>
    <row r="67" spans="1:20" ht="14.1" customHeight="1" x14ac:dyDescent="0.2">
      <c r="A67" s="120">
        <v>7</v>
      </c>
      <c r="B67" s="276"/>
      <c r="C67" s="328"/>
      <c r="F67" s="332" t="s">
        <v>327</v>
      </c>
      <c r="G67" s="334"/>
      <c r="H67" s="334"/>
      <c r="I67" s="338">
        <f>'2027 GS Rate Class E-13c'!J25</f>
        <v>7.2100512585157872E-2</v>
      </c>
      <c r="J67" s="334" t="s">
        <v>1418</v>
      </c>
      <c r="K67" s="334"/>
      <c r="L67" s="334"/>
      <c r="M67" s="334"/>
      <c r="N67" s="338">
        <f>'2027 GS Rate Class E-13c'!Q25</f>
        <v>7.4998071041309733E-2</v>
      </c>
      <c r="O67" s="334" t="s">
        <v>1418</v>
      </c>
      <c r="Q67" s="125">
        <f>IF(I67=0,0,+(N67-I67)/I67)</f>
        <v>4.018776499999991E-2</v>
      </c>
      <c r="R67" s="128"/>
      <c r="S67" s="128"/>
      <c r="T67" s="128"/>
    </row>
    <row r="68" spans="1:20" ht="14.1" customHeight="1" x14ac:dyDescent="0.2">
      <c r="A68" s="120">
        <v>8</v>
      </c>
      <c r="B68" s="276"/>
      <c r="C68" s="328"/>
      <c r="F68" s="332" t="s">
        <v>339</v>
      </c>
      <c r="G68" s="334"/>
      <c r="H68" s="334"/>
      <c r="I68" s="338">
        <f>'2027 GS Rate Class E-13c'!J26</f>
        <v>7.2100512585157872E-2</v>
      </c>
      <c r="J68" s="334" t="s">
        <v>1418</v>
      </c>
      <c r="K68" s="334"/>
      <c r="L68" s="334"/>
      <c r="M68" s="334"/>
      <c r="N68" s="338">
        <f>'2027 GS Rate Class E-13c'!Q26</f>
        <v>7.4998071041309733E-2</v>
      </c>
      <c r="O68" s="334" t="s">
        <v>1418</v>
      </c>
      <c r="Q68" s="125">
        <f>IF(I68=0,0,+(N68-I68)/I68)</f>
        <v>4.018776499999991E-2</v>
      </c>
      <c r="R68" s="128"/>
      <c r="S68" s="128"/>
      <c r="T68" s="128"/>
    </row>
    <row r="69" spans="1:20" ht="14.1" customHeight="1" x14ac:dyDescent="0.2">
      <c r="A69" s="120">
        <v>9</v>
      </c>
      <c r="B69" s="276"/>
      <c r="F69" s="334" t="s">
        <v>1425</v>
      </c>
      <c r="G69" s="334"/>
      <c r="H69" s="334"/>
      <c r="I69" s="338">
        <f>'2027 GS Rate Class E-13c'!J27</f>
        <v>0.10499602754864824</v>
      </c>
      <c r="J69" s="334" t="s">
        <v>1418</v>
      </c>
      <c r="K69" s="334"/>
      <c r="L69" s="334"/>
      <c r="M69" s="334"/>
      <c r="N69" s="338">
        <f>'2027 GS Rate Class E-13c'!Q27</f>
        <v>0.10921558322970684</v>
      </c>
      <c r="O69" s="334" t="s">
        <v>1418</v>
      </c>
      <c r="Q69" s="125">
        <f>IF(I69=0,0,+(N69-I69)/I69)</f>
        <v>4.0187764999999966E-2</v>
      </c>
      <c r="R69" s="128"/>
      <c r="S69" s="128"/>
      <c r="T69" s="128"/>
    </row>
    <row r="70" spans="1:20" ht="14.1" customHeight="1" x14ac:dyDescent="0.2">
      <c r="A70" s="120">
        <v>10</v>
      </c>
      <c r="B70" s="276"/>
      <c r="C70" s="124"/>
      <c r="F70" s="334" t="s">
        <v>1426</v>
      </c>
      <c r="G70" s="334"/>
      <c r="H70" s="334"/>
      <c r="I70" s="338">
        <f>'2027 GS Rate Class E-13c'!J28</f>
        <v>5.6925198666248247E-2</v>
      </c>
      <c r="J70" s="334" t="s">
        <v>1418</v>
      </c>
      <c r="K70" s="334"/>
      <c r="L70" s="334"/>
      <c r="M70" s="334"/>
      <c r="N70" s="338">
        <f>'2027 GS Rate Class E-13c'!Q28</f>
        <v>5.9212895172825741E-2</v>
      </c>
      <c r="O70" s="334" t="s">
        <v>1418</v>
      </c>
      <c r="Q70" s="125">
        <f>IF(I70=0,0,+(N70-I70)/I70)</f>
        <v>4.0187764999999931E-2</v>
      </c>
      <c r="R70" s="128"/>
      <c r="S70" s="128"/>
      <c r="T70" s="128"/>
    </row>
    <row r="71" spans="1:20" ht="14.1" customHeight="1" x14ac:dyDescent="0.2">
      <c r="A71" s="120">
        <v>11</v>
      </c>
      <c r="B71" s="276"/>
      <c r="C71" s="137"/>
      <c r="F71" s="334" t="s">
        <v>1427</v>
      </c>
      <c r="G71" s="128"/>
      <c r="H71" s="128"/>
      <c r="I71" s="338">
        <f>'2027 GS Rate Class E-13c'!J29</f>
        <v>5.2783353339448245E-2</v>
      </c>
      <c r="J71" s="334" t="s">
        <v>1418</v>
      </c>
      <c r="K71" s="128"/>
      <c r="L71" s="128"/>
      <c r="M71" s="128"/>
      <c r="N71" s="338">
        <f>'2027 GS Rate Class E-13c'!Q29</f>
        <v>5.4904598339365958E-2</v>
      </c>
      <c r="O71" s="334" t="s">
        <v>1418</v>
      </c>
      <c r="Q71" s="125">
        <f>IF(I71=0,0,+(N71-I71)/I71)</f>
        <v>4.0187765000000021E-2</v>
      </c>
      <c r="R71" s="128"/>
      <c r="S71" s="128"/>
      <c r="T71" s="128"/>
    </row>
    <row r="72" spans="1:20" ht="14.1" customHeight="1" x14ac:dyDescent="0.2">
      <c r="A72" s="120">
        <v>12</v>
      </c>
      <c r="B72" s="276"/>
      <c r="C72" s="137"/>
      <c r="Q72" s="141"/>
      <c r="R72" s="128"/>
      <c r="S72" s="128"/>
      <c r="T72" s="128"/>
    </row>
    <row r="73" spans="1:20" ht="14.1" customHeight="1" x14ac:dyDescent="0.2">
      <c r="A73" s="120">
        <v>13</v>
      </c>
      <c r="B73" s="276"/>
      <c r="C73" s="137"/>
      <c r="E73" s="342" t="s">
        <v>1428</v>
      </c>
      <c r="G73" s="128"/>
      <c r="H73" s="128"/>
      <c r="I73" s="338">
        <f>'2027 GS Rate Class E-13c'!J34</f>
        <v>2.7223893835999998E-3</v>
      </c>
      <c r="J73" s="334" t="s">
        <v>1418</v>
      </c>
      <c r="K73" s="334"/>
      <c r="L73" s="128"/>
      <c r="M73" s="128"/>
      <c r="N73" s="338">
        <f>'2027 GS Rate Class E-13c'!Q34</f>
        <v>2.8317961283866114E-3</v>
      </c>
      <c r="O73" s="334" t="s">
        <v>1418</v>
      </c>
      <c r="Q73" s="125">
        <f>IF(I73=0,0,+(N73-I73)/I73)</f>
        <v>4.0187764999999966E-2</v>
      </c>
      <c r="R73" s="128"/>
      <c r="S73" s="128"/>
      <c r="T73" s="128"/>
    </row>
    <row r="74" spans="1:20" ht="14.1" customHeight="1" x14ac:dyDescent="0.2">
      <c r="A74" s="120">
        <v>14</v>
      </c>
      <c r="B74" s="276"/>
      <c r="C74" s="137"/>
      <c r="F74" s="128"/>
      <c r="G74" s="128"/>
      <c r="H74" s="128"/>
      <c r="I74" s="128"/>
      <c r="J74" s="128"/>
      <c r="K74" s="128"/>
      <c r="L74" s="128"/>
      <c r="M74" s="128"/>
      <c r="N74" s="128"/>
      <c r="O74" s="128"/>
      <c r="Q74" s="128"/>
      <c r="R74" s="128"/>
      <c r="S74" s="128"/>
      <c r="T74" s="128"/>
    </row>
    <row r="75" spans="1:20" ht="14.1" customHeight="1" x14ac:dyDescent="0.2">
      <c r="A75" s="120">
        <v>15</v>
      </c>
      <c r="B75" s="276"/>
      <c r="C75" s="137"/>
      <c r="F75" s="128"/>
      <c r="G75" s="128"/>
      <c r="H75" s="128"/>
      <c r="I75" s="128"/>
      <c r="J75" s="128"/>
      <c r="K75" s="128"/>
      <c r="L75" s="128"/>
      <c r="M75" s="128"/>
      <c r="N75" s="128"/>
      <c r="O75" s="128"/>
      <c r="Q75" s="128"/>
      <c r="R75" s="128"/>
      <c r="S75" s="128"/>
      <c r="T75" s="128"/>
    </row>
    <row r="76" spans="1:20" ht="14.1" customHeight="1" x14ac:dyDescent="0.2">
      <c r="A76" s="120">
        <v>16</v>
      </c>
      <c r="B76" s="276"/>
      <c r="C76" s="137"/>
      <c r="F76" s="128"/>
      <c r="G76" s="128"/>
      <c r="H76" s="128"/>
      <c r="I76" s="128"/>
      <c r="J76" s="128"/>
      <c r="K76" s="128"/>
      <c r="L76" s="128"/>
      <c r="M76" s="128"/>
      <c r="N76" s="128"/>
      <c r="O76" s="128"/>
      <c r="Q76" s="128"/>
      <c r="R76" s="128"/>
      <c r="S76" s="128"/>
      <c r="T76" s="128"/>
    </row>
    <row r="77" spans="1:20" ht="14.1" customHeight="1" x14ac:dyDescent="0.2">
      <c r="A77" s="120">
        <v>17</v>
      </c>
      <c r="B77" s="276"/>
      <c r="C77" s="137"/>
      <c r="F77" s="128"/>
      <c r="G77" s="128"/>
      <c r="H77" s="128"/>
      <c r="I77" s="128"/>
      <c r="J77" s="128"/>
      <c r="K77" s="128"/>
      <c r="L77" s="128"/>
      <c r="M77" s="128"/>
      <c r="N77" s="128"/>
      <c r="O77" s="128"/>
      <c r="Q77" s="128"/>
      <c r="R77" s="128"/>
      <c r="S77" s="128"/>
      <c r="T77" s="128"/>
    </row>
    <row r="78" spans="1:20" ht="14.1" customHeight="1" x14ac:dyDescent="0.2">
      <c r="A78" s="120">
        <v>18</v>
      </c>
      <c r="B78" s="276"/>
      <c r="C78" s="137"/>
      <c r="F78" s="128"/>
      <c r="G78" s="128"/>
      <c r="H78" s="128"/>
      <c r="I78" s="128"/>
      <c r="J78" s="128"/>
      <c r="K78" s="128"/>
      <c r="L78" s="128"/>
      <c r="M78" s="128"/>
      <c r="N78" s="128"/>
      <c r="O78" s="128"/>
      <c r="Q78" s="128"/>
      <c r="R78" s="128"/>
      <c r="S78" s="128"/>
      <c r="T78" s="128"/>
    </row>
    <row r="79" spans="1:20" ht="14.1" customHeight="1" x14ac:dyDescent="0.2">
      <c r="A79" s="120">
        <v>19</v>
      </c>
      <c r="B79" s="276"/>
      <c r="C79" s="137"/>
      <c r="F79" s="128"/>
      <c r="G79" s="128"/>
      <c r="H79" s="128"/>
      <c r="I79" s="128"/>
      <c r="J79" s="128"/>
      <c r="K79" s="128"/>
      <c r="L79" s="128"/>
      <c r="M79" s="128"/>
      <c r="N79" s="128"/>
      <c r="O79" s="128"/>
      <c r="Q79" s="128"/>
      <c r="R79" s="128"/>
      <c r="S79" s="128"/>
      <c r="T79" s="128"/>
    </row>
    <row r="80" spans="1:20" ht="14.1" customHeight="1" x14ac:dyDescent="0.2">
      <c r="A80" s="120">
        <v>20</v>
      </c>
      <c r="B80" s="276"/>
      <c r="C80" s="137"/>
      <c r="F80" s="128"/>
      <c r="G80" s="128"/>
      <c r="H80" s="128"/>
      <c r="I80" s="128"/>
      <c r="J80" s="128"/>
      <c r="K80" s="128"/>
      <c r="L80" s="128"/>
      <c r="M80" s="128"/>
      <c r="N80" s="128"/>
      <c r="O80" s="128"/>
      <c r="Q80" s="128"/>
      <c r="R80" s="128"/>
      <c r="S80" s="128"/>
      <c r="T80" s="128"/>
    </row>
    <row r="81" spans="1:20" ht="14.1" customHeight="1" x14ac:dyDescent="0.2">
      <c r="A81" s="120">
        <v>21</v>
      </c>
      <c r="B81" s="276"/>
      <c r="C81" s="137"/>
      <c r="F81" s="128"/>
      <c r="G81" s="128"/>
      <c r="H81" s="128"/>
      <c r="I81" s="128"/>
      <c r="J81" s="128"/>
      <c r="K81" s="128"/>
      <c r="L81" s="128"/>
      <c r="M81" s="128"/>
      <c r="N81" s="128"/>
      <c r="O81" s="128"/>
      <c r="Q81" s="128"/>
      <c r="R81" s="128"/>
      <c r="S81" s="128"/>
      <c r="T81" s="128"/>
    </row>
    <row r="82" spans="1:20" ht="14.1" customHeight="1" x14ac:dyDescent="0.2">
      <c r="A82" s="120">
        <v>22</v>
      </c>
      <c r="B82" s="276"/>
      <c r="C82" s="137"/>
      <c r="F82" s="128"/>
      <c r="G82" s="128"/>
      <c r="H82" s="128"/>
      <c r="I82" s="128"/>
      <c r="J82" s="128"/>
      <c r="K82" s="128"/>
      <c r="L82" s="128"/>
      <c r="M82" s="128"/>
      <c r="N82" s="128"/>
      <c r="O82" s="128"/>
      <c r="Q82" s="128"/>
      <c r="R82" s="128"/>
      <c r="S82" s="128"/>
      <c r="T82" s="128"/>
    </row>
    <row r="83" spans="1:20" ht="14.1" customHeight="1" x14ac:dyDescent="0.2">
      <c r="A83" s="120">
        <v>23</v>
      </c>
      <c r="B83" s="276"/>
      <c r="C83" s="137"/>
      <c r="F83" s="128"/>
      <c r="G83" s="128"/>
      <c r="H83" s="128"/>
      <c r="I83" s="128"/>
      <c r="J83" s="128"/>
      <c r="K83" s="128"/>
      <c r="L83" s="128"/>
      <c r="M83" s="128"/>
      <c r="N83" s="128"/>
      <c r="O83" s="128"/>
      <c r="Q83" s="128"/>
      <c r="R83" s="128"/>
      <c r="S83" s="128"/>
      <c r="T83" s="128"/>
    </row>
    <row r="84" spans="1:20" ht="14.1" customHeight="1" x14ac:dyDescent="0.2">
      <c r="A84" s="120">
        <v>24</v>
      </c>
      <c r="B84" s="276"/>
      <c r="C84" s="137"/>
      <c r="F84" s="128"/>
      <c r="G84" s="128"/>
      <c r="H84" s="128"/>
      <c r="I84" s="128"/>
      <c r="J84" s="128"/>
      <c r="K84" s="128"/>
      <c r="L84" s="128"/>
      <c r="M84" s="128"/>
      <c r="N84" s="128"/>
      <c r="O84" s="128"/>
      <c r="Q84" s="128"/>
      <c r="R84" s="128"/>
      <c r="S84" s="128"/>
      <c r="T84" s="128"/>
    </row>
    <row r="85" spans="1:20" ht="14.1" customHeight="1" x14ac:dyDescent="0.2">
      <c r="A85" s="120">
        <v>25</v>
      </c>
      <c r="B85" s="276"/>
      <c r="C85" s="137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Q85" s="128"/>
      <c r="R85" s="128"/>
      <c r="S85" s="128"/>
      <c r="T85" s="128"/>
    </row>
    <row r="86" spans="1:20" ht="14.1" customHeight="1" x14ac:dyDescent="0.2">
      <c r="A86" s="120">
        <v>26</v>
      </c>
      <c r="B86" s="276"/>
      <c r="C86" s="137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Q86" s="128"/>
      <c r="R86" s="128"/>
      <c r="S86" s="128"/>
      <c r="T86" s="128"/>
    </row>
    <row r="87" spans="1:20" ht="14.1" customHeight="1" x14ac:dyDescent="0.2">
      <c r="A87" s="120">
        <v>27</v>
      </c>
      <c r="B87" s="276"/>
      <c r="C87" s="137"/>
      <c r="F87" s="128"/>
      <c r="G87" s="128"/>
      <c r="H87" s="128"/>
      <c r="I87" s="128"/>
      <c r="J87" s="128"/>
      <c r="K87" s="128"/>
      <c r="L87" s="128"/>
      <c r="M87" s="128"/>
      <c r="N87" s="128"/>
      <c r="O87" s="128"/>
      <c r="Q87" s="128"/>
      <c r="R87" s="128"/>
      <c r="S87" s="128"/>
      <c r="T87" s="128"/>
    </row>
    <row r="88" spans="1:20" ht="14.1" customHeight="1" x14ac:dyDescent="0.2">
      <c r="A88" s="120">
        <v>28</v>
      </c>
      <c r="B88" s="276"/>
      <c r="C88" s="137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Q88" s="128"/>
      <c r="R88" s="128"/>
      <c r="S88" s="128"/>
      <c r="T88" s="128"/>
    </row>
    <row r="89" spans="1:20" ht="14.1" customHeight="1" x14ac:dyDescent="0.2">
      <c r="A89" s="120">
        <v>29</v>
      </c>
      <c r="B89" s="276"/>
      <c r="C89" s="137"/>
      <c r="F89" s="128"/>
      <c r="G89" s="128"/>
      <c r="H89" s="128"/>
      <c r="I89" s="128"/>
      <c r="J89" s="128"/>
      <c r="K89" s="128"/>
      <c r="L89" s="128"/>
      <c r="M89" s="128"/>
      <c r="N89" s="128"/>
      <c r="O89" s="128"/>
      <c r="Q89" s="128"/>
      <c r="R89" s="128"/>
      <c r="S89" s="128"/>
      <c r="T89" s="128"/>
    </row>
    <row r="90" spans="1:20" ht="14.1" customHeight="1" x14ac:dyDescent="0.2">
      <c r="A90" s="120">
        <v>30</v>
      </c>
      <c r="B90" s="276"/>
      <c r="C90" s="137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Q90" s="128"/>
      <c r="R90" s="128"/>
      <c r="S90" s="128"/>
      <c r="T90" s="128"/>
    </row>
    <row r="91" spans="1:20" ht="14.1" customHeight="1" x14ac:dyDescent="0.2">
      <c r="A91" s="120">
        <v>31</v>
      </c>
      <c r="B91" s="276"/>
      <c r="C91" s="137"/>
      <c r="F91" s="128"/>
      <c r="G91" s="128"/>
      <c r="H91" s="128"/>
      <c r="I91" s="128"/>
      <c r="J91" s="128"/>
      <c r="K91" s="128"/>
      <c r="L91" s="128"/>
      <c r="M91" s="128"/>
      <c r="N91" s="128"/>
      <c r="O91" s="128"/>
      <c r="Q91" s="128"/>
      <c r="R91" s="128"/>
      <c r="S91" s="128"/>
      <c r="T91" s="128"/>
    </row>
    <row r="92" spans="1:20" ht="14.1" customHeight="1" x14ac:dyDescent="0.2">
      <c r="A92" s="120">
        <v>32</v>
      </c>
      <c r="B92" s="276"/>
      <c r="C92" s="137"/>
      <c r="F92" s="128"/>
      <c r="G92" s="128"/>
      <c r="H92" s="128"/>
      <c r="I92" s="128"/>
      <c r="J92" s="128"/>
      <c r="K92" s="128"/>
      <c r="L92" s="128"/>
      <c r="M92" s="128"/>
      <c r="N92" s="128"/>
      <c r="O92" s="128"/>
      <c r="Q92" s="128"/>
      <c r="R92" s="128"/>
      <c r="S92" s="128"/>
      <c r="T92" s="128"/>
    </row>
    <row r="93" spans="1:20" ht="14.1" customHeight="1" x14ac:dyDescent="0.2">
      <c r="A93" s="120">
        <v>33</v>
      </c>
      <c r="B93" s="276"/>
      <c r="C93" s="137"/>
      <c r="F93" s="128"/>
      <c r="G93" s="128"/>
      <c r="H93" s="128"/>
      <c r="I93" s="128"/>
      <c r="J93" s="128"/>
      <c r="K93" s="128"/>
      <c r="L93" s="128"/>
      <c r="M93" s="128"/>
      <c r="N93" s="128"/>
      <c r="O93" s="128"/>
      <c r="Q93" s="128"/>
      <c r="R93" s="128"/>
      <c r="S93" s="128"/>
      <c r="T93" s="128"/>
    </row>
    <row r="94" spans="1:20" ht="14.1" customHeight="1" x14ac:dyDescent="0.2">
      <c r="A94" s="120">
        <v>34</v>
      </c>
      <c r="B94" s="276"/>
      <c r="C94" s="137"/>
      <c r="F94" s="128"/>
      <c r="G94" s="128"/>
      <c r="H94" s="128"/>
      <c r="I94" s="128"/>
      <c r="J94" s="128"/>
      <c r="K94" s="128"/>
      <c r="L94" s="128"/>
      <c r="M94" s="128"/>
      <c r="N94" s="128"/>
      <c r="O94" s="128"/>
      <c r="Q94" s="128"/>
      <c r="R94" s="128"/>
      <c r="S94" s="128"/>
      <c r="T94" s="128"/>
    </row>
    <row r="95" spans="1:20" ht="14.1" customHeight="1" x14ac:dyDescent="0.2">
      <c r="A95" s="120">
        <v>35</v>
      </c>
      <c r="B95" s="276"/>
      <c r="C95" s="137"/>
      <c r="F95" s="128"/>
      <c r="G95" s="128"/>
      <c r="H95" s="128"/>
      <c r="I95" s="128"/>
      <c r="J95" s="128"/>
      <c r="K95" s="128"/>
      <c r="L95" s="128"/>
      <c r="M95" s="128"/>
      <c r="N95" s="128"/>
      <c r="O95" s="128"/>
      <c r="Q95" s="128"/>
      <c r="R95" s="128"/>
      <c r="S95" s="128"/>
      <c r="T95" s="128"/>
    </row>
    <row r="96" spans="1:20" ht="14.1" customHeight="1" thickBot="1" x14ac:dyDescent="0.25">
      <c r="A96" s="118">
        <v>36</v>
      </c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</row>
    <row r="97" spans="1:20" ht="14.1" customHeight="1" x14ac:dyDescent="0.2">
      <c r="A97" s="113" t="str">
        <f>+$A$49</f>
        <v>Supporting Schedules:  E-7, E-14 Supplement</v>
      </c>
      <c r="R97" s="113" t="s">
        <v>1369</v>
      </c>
    </row>
    <row r="98" spans="1:20" ht="14.1" customHeight="1" thickBot="1" x14ac:dyDescent="0.25">
      <c r="A98" s="114" t="str">
        <f>+$A$2</f>
        <v>SCHEDULE A-3</v>
      </c>
      <c r="B98" s="114"/>
      <c r="C98" s="114"/>
      <c r="D98" s="114"/>
      <c r="E98" s="114"/>
      <c r="F98" s="114"/>
      <c r="G98" s="114"/>
      <c r="H98" s="114"/>
      <c r="I98" s="114" t="str">
        <f>+$I$2</f>
        <v>SUMMARY OF TARIFFS</v>
      </c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263" t="s">
        <v>1429</v>
      </c>
    </row>
    <row r="99" spans="1:20" ht="14.1" customHeight="1" x14ac:dyDescent="0.2">
      <c r="A99" s="113" t="s">
        <v>307</v>
      </c>
      <c r="F99" s="117" t="s">
        <v>1405</v>
      </c>
      <c r="G99" s="113" t="s">
        <v>1406</v>
      </c>
      <c r="L99" s="115"/>
      <c r="M99" s="115"/>
      <c r="O99" s="115"/>
      <c r="P99" s="115"/>
      <c r="Q99" s="115" t="s">
        <v>845</v>
      </c>
      <c r="T99" s="116"/>
    </row>
    <row r="100" spans="1:20" ht="14.1" customHeight="1" x14ac:dyDescent="0.2">
      <c r="G100" s="113" t="s">
        <v>1407</v>
      </c>
      <c r="L100" s="117"/>
      <c r="M100" s="116"/>
      <c r="P100" s="117"/>
      <c r="Q100" s="11" t="s">
        <v>916</v>
      </c>
      <c r="R100" s="10" t="s">
        <v>1512</v>
      </c>
      <c r="T100" s="117"/>
    </row>
    <row r="101" spans="1:20" ht="14.1" customHeight="1" x14ac:dyDescent="0.2">
      <c r="A101" s="113" t="s">
        <v>310</v>
      </c>
      <c r="L101" s="117"/>
      <c r="M101" s="116"/>
      <c r="N101" s="117"/>
      <c r="Q101" s="11"/>
      <c r="R101" s="10"/>
      <c r="T101" s="117"/>
    </row>
    <row r="102" spans="1:20" ht="14.1" customHeight="1" x14ac:dyDescent="0.2">
      <c r="L102" s="117"/>
      <c r="M102" s="116"/>
      <c r="N102" s="117"/>
      <c r="Q102" s="11"/>
      <c r="R102" s="10"/>
      <c r="T102" s="117"/>
    </row>
    <row r="103" spans="1:20" ht="14.1" customHeight="1" thickBot="1" x14ac:dyDescent="0.25">
      <c r="A103" s="114" t="s">
        <v>1520</v>
      </c>
      <c r="B103" s="114"/>
      <c r="C103" s="114"/>
      <c r="D103" s="114"/>
      <c r="E103" s="114"/>
      <c r="F103" s="114"/>
      <c r="G103" s="114"/>
      <c r="H103" s="114"/>
      <c r="I103" s="118"/>
      <c r="J103" s="114"/>
      <c r="K103" s="114"/>
      <c r="L103" s="114"/>
      <c r="M103" s="114"/>
      <c r="N103" s="114"/>
      <c r="O103" s="114"/>
      <c r="P103" s="114"/>
      <c r="Q103" s="114"/>
      <c r="R103" s="114" t="s">
        <v>1519</v>
      </c>
      <c r="S103" s="114"/>
      <c r="T103" s="114"/>
    </row>
    <row r="104" spans="1:20" ht="14.1" customHeight="1" x14ac:dyDescent="0.2">
      <c r="A104" s="113" t="str">
        <f>IF(+A$8="","",A$8)</f>
        <v/>
      </c>
      <c r="B104" s="120" t="str">
        <f t="shared" ref="B104:T104" si="5">IF(+B$8="","",B$8)</f>
        <v/>
      </c>
      <c r="C104" s="120" t="str">
        <f t="shared" si="5"/>
        <v>(1)</v>
      </c>
      <c r="D104" s="120" t="str">
        <f t="shared" si="5"/>
        <v/>
      </c>
      <c r="E104" s="120" t="str">
        <f t="shared" si="5"/>
        <v/>
      </c>
      <c r="F104" s="120" t="str">
        <f t="shared" si="5"/>
        <v>(2)</v>
      </c>
      <c r="G104" s="120" t="str">
        <f t="shared" si="5"/>
        <v/>
      </c>
      <c r="H104" s="120" t="str">
        <f>IF(+H$8="","",H$8)</f>
        <v/>
      </c>
      <c r="I104" s="120" t="str">
        <f>IF(+I$8="","",I$8)</f>
        <v>(3)</v>
      </c>
      <c r="J104" s="120" t="str">
        <f>IF(+J$8="","",J$8)</f>
        <v/>
      </c>
      <c r="K104" s="120"/>
      <c r="L104" s="120" t="str">
        <f t="shared" si="5"/>
        <v>(4)</v>
      </c>
      <c r="M104" s="120" t="str">
        <f t="shared" si="5"/>
        <v/>
      </c>
      <c r="N104" s="120" t="str">
        <f t="shared" si="5"/>
        <v>(5)</v>
      </c>
      <c r="O104" s="120" t="str">
        <f t="shared" si="5"/>
        <v/>
      </c>
      <c r="Q104" s="120" t="str">
        <f>IF(+Q$8="","",Q$8)</f>
        <v>(6)</v>
      </c>
      <c r="R104" s="120" t="str">
        <f t="shared" si="5"/>
        <v/>
      </c>
      <c r="S104" s="120" t="str">
        <f t="shared" si="5"/>
        <v/>
      </c>
      <c r="T104" s="120" t="str">
        <f t="shared" si="5"/>
        <v/>
      </c>
    </row>
    <row r="105" spans="1:20" ht="14.1" customHeight="1" x14ac:dyDescent="0.2">
      <c r="A105" s="113" t="str">
        <f>IF(+A$9="","",A$9)</f>
        <v/>
      </c>
      <c r="B105" s="120" t="str">
        <f t="shared" ref="B105:T105" si="6">IF(+B$9="","",B$9)</f>
        <v/>
      </c>
      <c r="C105" s="120" t="str">
        <f t="shared" si="6"/>
        <v/>
      </c>
      <c r="D105" s="120" t="str">
        <f t="shared" si="6"/>
        <v/>
      </c>
      <c r="E105" s="120" t="str">
        <f t="shared" si="6"/>
        <v/>
      </c>
      <c r="F105" s="120" t="str">
        <f t="shared" si="6"/>
        <v/>
      </c>
      <c r="G105" s="120" t="str">
        <f t="shared" si="6"/>
        <v/>
      </c>
      <c r="H105" s="120" t="str">
        <f>IF(+H$9="","",H$9)</f>
        <v/>
      </c>
      <c r="I105" s="120" t="str">
        <f>IF(+I$9="","",I$9)</f>
        <v/>
      </c>
      <c r="J105" s="120" t="str">
        <f>IF(+J$9="","",J$9)</f>
        <v/>
      </c>
      <c r="K105" s="120"/>
      <c r="L105" s="120" t="str">
        <f t="shared" si="6"/>
        <v/>
      </c>
      <c r="M105" s="120" t="str">
        <f t="shared" si="6"/>
        <v/>
      </c>
      <c r="N105" s="120" t="str">
        <f t="shared" si="6"/>
        <v/>
      </c>
      <c r="O105" s="120" t="str">
        <f t="shared" si="6"/>
        <v/>
      </c>
      <c r="Q105" s="120" t="str">
        <f>IF(+Q$9="","",Q$9)</f>
        <v/>
      </c>
      <c r="R105" s="120" t="str">
        <f t="shared" si="6"/>
        <v/>
      </c>
      <c r="S105" s="120" t="str">
        <f t="shared" si="6"/>
        <v/>
      </c>
      <c r="T105" s="120" t="str">
        <f t="shared" si="6"/>
        <v/>
      </c>
    </row>
    <row r="106" spans="1:20" ht="14.1" customHeight="1" x14ac:dyDescent="0.2">
      <c r="A106" s="113" t="str">
        <f>IF(+A$10="","",A$10)</f>
        <v/>
      </c>
      <c r="B106" s="120" t="str">
        <f t="shared" ref="B106:T106" si="7">IF(+B$10="","",B$10)</f>
        <v/>
      </c>
      <c r="C106" s="120" t="str">
        <f t="shared" si="7"/>
        <v xml:space="preserve">Current </v>
      </c>
      <c r="D106" s="120" t="str">
        <f t="shared" si="7"/>
        <v/>
      </c>
      <c r="E106" s="120" t="str">
        <f t="shared" si="7"/>
        <v/>
      </c>
      <c r="F106" s="120" t="str">
        <f t="shared" si="7"/>
        <v/>
      </c>
      <c r="G106" s="120" t="str">
        <f t="shared" si="7"/>
        <v/>
      </c>
      <c r="H106" s="120" t="str">
        <f>IF(+H$10="","",H$10)</f>
        <v/>
      </c>
      <c r="I106" s="120" t="str">
        <f>IF(+I$10="","",I$10)</f>
        <v/>
      </c>
      <c r="J106" s="120" t="str">
        <f>IF(+J$10="","",J$10)</f>
        <v/>
      </c>
      <c r="K106" s="120"/>
      <c r="L106" s="120" t="str">
        <f t="shared" si="7"/>
        <v>Proposed</v>
      </c>
      <c r="M106" s="120" t="str">
        <f t="shared" si="7"/>
        <v/>
      </c>
      <c r="N106" s="120" t="str">
        <f t="shared" si="7"/>
        <v/>
      </c>
      <c r="O106" s="120" t="str">
        <f t="shared" si="7"/>
        <v/>
      </c>
      <c r="Q106" s="120" t="str">
        <f>IF(+Q$10="","",Q$10)</f>
        <v>Percent</v>
      </c>
      <c r="R106" s="120" t="str">
        <f t="shared" si="7"/>
        <v/>
      </c>
      <c r="S106" s="120" t="str">
        <f t="shared" si="7"/>
        <v/>
      </c>
      <c r="T106" s="120" t="str">
        <f t="shared" si="7"/>
        <v/>
      </c>
    </row>
    <row r="107" spans="1:20" ht="14.1" customHeight="1" x14ac:dyDescent="0.2">
      <c r="A107" s="120" t="str">
        <f>IF(+A$11="","",A$11)</f>
        <v>Line</v>
      </c>
      <c r="B107" s="120" t="str">
        <f t="shared" ref="B107:T107" si="8">IF(+B$11="","",B$11)</f>
        <v/>
      </c>
      <c r="C107" s="120" t="str">
        <f t="shared" si="8"/>
        <v>Rate</v>
      </c>
      <c r="D107" s="120" t="str">
        <f t="shared" si="8"/>
        <v/>
      </c>
      <c r="E107" s="120" t="str">
        <f t="shared" si="8"/>
        <v/>
      </c>
      <c r="F107" s="120" t="str">
        <f t="shared" si="8"/>
        <v/>
      </c>
      <c r="G107" s="120" t="str">
        <f t="shared" si="8"/>
        <v/>
      </c>
      <c r="H107" s="120" t="str">
        <f>IF(+H$11="","",H$11)</f>
        <v/>
      </c>
      <c r="I107" s="120" t="str">
        <f>IF(+I$11="","",I$11)</f>
        <v>Current</v>
      </c>
      <c r="J107" s="120" t="str">
        <f>IF(+J$11="","",J$11)</f>
        <v/>
      </c>
      <c r="K107" s="120"/>
      <c r="L107" s="120" t="str">
        <f t="shared" si="8"/>
        <v>Rate</v>
      </c>
      <c r="M107" s="120" t="str">
        <f t="shared" si="8"/>
        <v/>
      </c>
      <c r="N107" s="120" t="str">
        <f t="shared" si="8"/>
        <v>Proposed</v>
      </c>
      <c r="O107" s="120" t="str">
        <f t="shared" si="8"/>
        <v/>
      </c>
      <c r="Q107" s="120" t="str">
        <f>IF(+Q$11="","",Q$11)</f>
        <v>Increase</v>
      </c>
      <c r="R107" s="120" t="str">
        <f t="shared" si="8"/>
        <v/>
      </c>
      <c r="S107" s="120" t="str">
        <f t="shared" si="8"/>
        <v/>
      </c>
      <c r="T107" s="120" t="str">
        <f t="shared" si="8"/>
        <v/>
      </c>
    </row>
    <row r="108" spans="1:20" ht="14.1" customHeight="1" thickBot="1" x14ac:dyDescent="0.25">
      <c r="A108" s="118" t="str">
        <f>IF(+A$12="","",A$12)</f>
        <v>No.</v>
      </c>
      <c r="B108" s="118" t="str">
        <f t="shared" ref="B108:T108" si="9">IF(+B$12="","",B$12)</f>
        <v/>
      </c>
      <c r="C108" s="118" t="str">
        <f t="shared" si="9"/>
        <v>Schedule</v>
      </c>
      <c r="D108" s="118" t="str">
        <f t="shared" si="9"/>
        <v/>
      </c>
      <c r="E108" s="118"/>
      <c r="F108" s="118" t="str">
        <f t="shared" si="9"/>
        <v>Type of Charge</v>
      </c>
      <c r="G108" s="118"/>
      <c r="H108" s="118" t="str">
        <f>IF(+H$12="","",H$12)</f>
        <v/>
      </c>
      <c r="I108" s="118" t="str">
        <f>IF(+I$12="","",I$12)</f>
        <v>Rate</v>
      </c>
      <c r="J108" s="118" t="str">
        <f>IF(+J$12="","",J$12)</f>
        <v/>
      </c>
      <c r="K108" s="118"/>
      <c r="L108" s="118" t="str">
        <f t="shared" si="9"/>
        <v>Schedule</v>
      </c>
      <c r="M108" s="118" t="str">
        <f t="shared" si="9"/>
        <v/>
      </c>
      <c r="N108" s="118" t="str">
        <f t="shared" si="9"/>
        <v>Rate</v>
      </c>
      <c r="O108" s="118" t="str">
        <f t="shared" si="9"/>
        <v/>
      </c>
      <c r="P108" s="114"/>
      <c r="Q108" s="118" t="str">
        <f>IF(+Q$12="","",Q$12)</f>
        <v>((5)-(3))/(3)</v>
      </c>
      <c r="R108" s="118" t="str">
        <f t="shared" si="9"/>
        <v/>
      </c>
      <c r="S108" s="118" t="str">
        <f t="shared" si="9"/>
        <v/>
      </c>
      <c r="T108" s="118" t="str">
        <f t="shared" si="9"/>
        <v/>
      </c>
    </row>
    <row r="109" spans="1:20" ht="14.1" customHeight="1" x14ac:dyDescent="0.2">
      <c r="A109" s="120">
        <v>1</v>
      </c>
      <c r="B109" s="340"/>
      <c r="C109" s="329" t="s">
        <v>359</v>
      </c>
      <c r="D109" s="328"/>
      <c r="E109" s="330" t="s">
        <v>326</v>
      </c>
      <c r="F109" s="331"/>
      <c r="G109" s="332"/>
      <c r="H109" s="332"/>
      <c r="I109" s="333"/>
      <c r="J109" s="328"/>
      <c r="K109" s="328"/>
      <c r="L109" s="329" t="s">
        <v>359</v>
      </c>
      <c r="M109" s="328"/>
      <c r="N109" s="328"/>
      <c r="O109" s="328"/>
      <c r="Q109" s="328"/>
      <c r="R109" s="137"/>
      <c r="S109" s="137"/>
      <c r="T109" s="137"/>
    </row>
    <row r="110" spans="1:20" ht="14.1" customHeight="1" x14ac:dyDescent="0.2">
      <c r="A110" s="120">
        <v>2</v>
      </c>
      <c r="B110" s="276"/>
      <c r="C110" s="328"/>
      <c r="F110" s="332" t="s">
        <v>327</v>
      </c>
      <c r="G110" s="332"/>
      <c r="H110" s="332"/>
      <c r="I110" s="288">
        <f>'2027 GS Rate Class E-13c'!J73</f>
        <v>1.3453052596000001</v>
      </c>
      <c r="J110" s="328" t="s">
        <v>1414</v>
      </c>
      <c r="K110" s="328"/>
      <c r="M110" s="328"/>
      <c r="N110" s="288">
        <f>'2027 GS Rate Class E-13c'!Q73</f>
        <v>1.3993700712260688</v>
      </c>
      <c r="O110" s="328" t="s">
        <v>1414</v>
      </c>
      <c r="Q110" s="125">
        <f>IF(I110=0,0,+(N110-I110)/I110)</f>
        <v>4.0187764999999917E-2</v>
      </c>
      <c r="R110" s="137"/>
      <c r="S110" s="137"/>
      <c r="T110" s="137"/>
    </row>
    <row r="111" spans="1:20" ht="14.1" customHeight="1" x14ac:dyDescent="0.2">
      <c r="A111" s="120">
        <v>3</v>
      </c>
      <c r="B111" s="276"/>
      <c r="C111" s="328"/>
      <c r="F111" s="334"/>
      <c r="G111" s="334"/>
      <c r="H111" s="334"/>
      <c r="I111" s="288"/>
      <c r="J111" s="328"/>
      <c r="K111" s="328"/>
      <c r="L111" s="335"/>
      <c r="M111" s="335"/>
      <c r="N111" s="288"/>
      <c r="O111" s="328"/>
      <c r="Q111" s="125"/>
      <c r="R111" s="137"/>
      <c r="S111" s="137"/>
      <c r="T111" s="137"/>
    </row>
    <row r="112" spans="1:20" ht="14.1" customHeight="1" x14ac:dyDescent="0.2">
      <c r="A112" s="120">
        <v>4</v>
      </c>
      <c r="B112" s="276"/>
      <c r="C112" s="328"/>
      <c r="E112" s="336" t="s">
        <v>1416</v>
      </c>
      <c r="G112" s="334"/>
      <c r="H112" s="334"/>
      <c r="I112" s="288"/>
      <c r="J112" s="335"/>
      <c r="K112" s="335"/>
      <c r="L112" s="335"/>
      <c r="M112" s="335"/>
      <c r="N112" s="288"/>
      <c r="O112" s="335"/>
      <c r="Q112" s="364"/>
      <c r="R112" s="128"/>
      <c r="S112" s="128"/>
      <c r="T112" s="128"/>
    </row>
    <row r="113" spans="1:20" ht="14.1" customHeight="1" x14ac:dyDescent="0.2">
      <c r="A113" s="120">
        <v>5</v>
      </c>
      <c r="B113" s="276"/>
      <c r="F113" s="332" t="s">
        <v>327</v>
      </c>
      <c r="G113" s="334"/>
      <c r="H113" s="334"/>
      <c r="I113" s="338">
        <f>'2027 GS Rate Class E-13c'!J77</f>
        <v>7.2100512585157872E-2</v>
      </c>
      <c r="J113" s="334" t="s">
        <v>1418</v>
      </c>
      <c r="K113" s="334"/>
      <c r="L113" s="334"/>
      <c r="M113" s="334"/>
      <c r="N113" s="338">
        <f>'2027 GS Rate Class E-13c'!Q77</f>
        <v>7.4998071041309733E-2</v>
      </c>
      <c r="O113" s="334" t="s">
        <v>1418</v>
      </c>
      <c r="Q113" s="125">
        <f>IF(I113=0,0,+(N113-I113)/I113)</f>
        <v>4.018776499999991E-2</v>
      </c>
      <c r="R113" s="128"/>
      <c r="S113" s="128"/>
      <c r="T113" s="128"/>
    </row>
    <row r="114" spans="1:20" ht="14.1" customHeight="1" x14ac:dyDescent="0.2">
      <c r="A114" s="120">
        <v>6</v>
      </c>
      <c r="B114" s="276"/>
      <c r="C114" s="328"/>
      <c r="R114" s="128"/>
      <c r="S114" s="128"/>
      <c r="T114" s="128"/>
    </row>
    <row r="115" spans="1:20" ht="14.1" customHeight="1" x14ac:dyDescent="0.2">
      <c r="A115" s="120">
        <v>7</v>
      </c>
      <c r="B115" s="276"/>
      <c r="C115" s="328"/>
      <c r="F115" s="334"/>
      <c r="G115" s="334"/>
      <c r="H115" s="334"/>
      <c r="I115" s="321"/>
      <c r="J115" s="334"/>
      <c r="K115" s="334"/>
      <c r="L115" s="334"/>
      <c r="M115" s="334"/>
      <c r="N115" s="334"/>
      <c r="O115" s="334"/>
      <c r="Q115" s="127"/>
      <c r="R115" s="128"/>
      <c r="S115" s="128"/>
      <c r="T115" s="128"/>
    </row>
    <row r="116" spans="1:20" ht="14.1" customHeight="1" x14ac:dyDescent="0.2">
      <c r="A116" s="120">
        <v>8</v>
      </c>
      <c r="B116" s="276"/>
      <c r="F116" s="334"/>
      <c r="G116" s="334"/>
      <c r="H116" s="334"/>
      <c r="I116" s="321"/>
      <c r="J116" s="334"/>
      <c r="K116" s="334"/>
      <c r="L116" s="334"/>
      <c r="M116" s="334"/>
      <c r="N116" s="334"/>
      <c r="O116" s="334"/>
      <c r="Q116" s="127"/>
      <c r="R116" s="128"/>
      <c r="S116" s="128"/>
      <c r="T116" s="128"/>
    </row>
    <row r="117" spans="1:20" ht="14.1" customHeight="1" x14ac:dyDescent="0.2">
      <c r="A117" s="120">
        <v>9</v>
      </c>
      <c r="B117" s="276"/>
      <c r="C117" s="124"/>
      <c r="F117" s="128"/>
      <c r="G117" s="128"/>
      <c r="H117" s="128"/>
      <c r="I117" s="128"/>
      <c r="J117" s="128"/>
      <c r="K117" s="128"/>
      <c r="L117" s="128"/>
      <c r="M117" s="128"/>
      <c r="N117" s="128"/>
      <c r="O117" s="128"/>
      <c r="Q117" s="128"/>
      <c r="R117" s="128"/>
      <c r="S117" s="128"/>
      <c r="T117" s="128"/>
    </row>
    <row r="118" spans="1:20" ht="14.1" customHeight="1" x14ac:dyDescent="0.2">
      <c r="A118" s="120">
        <v>10</v>
      </c>
      <c r="B118" s="276"/>
      <c r="C118" s="137"/>
      <c r="F118" s="128"/>
      <c r="G118" s="128"/>
      <c r="H118" s="128"/>
      <c r="I118" s="128"/>
      <c r="J118" s="128"/>
      <c r="K118" s="128"/>
      <c r="L118" s="128"/>
      <c r="M118" s="128"/>
      <c r="N118" s="128"/>
      <c r="O118" s="128"/>
      <c r="Q118" s="128"/>
      <c r="R118" s="128"/>
      <c r="S118" s="128"/>
      <c r="T118" s="128"/>
    </row>
    <row r="119" spans="1:20" ht="14.1" customHeight="1" x14ac:dyDescent="0.2">
      <c r="A119" s="120">
        <v>11</v>
      </c>
      <c r="B119" s="276"/>
      <c r="C119" s="137"/>
      <c r="F119" s="128"/>
      <c r="G119" s="128"/>
      <c r="H119" s="128"/>
      <c r="I119" s="128"/>
      <c r="J119" s="128"/>
      <c r="K119" s="128"/>
      <c r="L119" s="128"/>
      <c r="M119" s="128"/>
      <c r="N119" s="128"/>
      <c r="O119" s="128"/>
      <c r="Q119" s="128"/>
      <c r="R119" s="128"/>
      <c r="S119" s="128"/>
      <c r="T119" s="128"/>
    </row>
    <row r="120" spans="1:20" ht="14.1" customHeight="1" x14ac:dyDescent="0.2">
      <c r="A120" s="120">
        <v>12</v>
      </c>
      <c r="B120" s="276"/>
      <c r="C120" s="137"/>
      <c r="F120" s="128"/>
      <c r="G120" s="128"/>
      <c r="H120" s="128"/>
      <c r="I120" s="128"/>
      <c r="J120" s="128"/>
      <c r="K120" s="128"/>
      <c r="L120" s="128"/>
      <c r="M120" s="128"/>
      <c r="N120" s="128"/>
      <c r="O120" s="128"/>
      <c r="Q120" s="128"/>
      <c r="R120" s="128"/>
      <c r="S120" s="128"/>
      <c r="T120" s="128"/>
    </row>
    <row r="121" spans="1:20" ht="14.1" customHeight="1" x14ac:dyDescent="0.2">
      <c r="A121" s="120">
        <v>13</v>
      </c>
      <c r="B121" s="276"/>
      <c r="C121" s="137"/>
      <c r="F121" s="128"/>
      <c r="G121" s="128"/>
      <c r="H121" s="128"/>
      <c r="I121" s="128"/>
      <c r="J121" s="128"/>
      <c r="K121" s="128"/>
      <c r="L121" s="128"/>
      <c r="M121" s="128"/>
      <c r="N121" s="128"/>
      <c r="O121" s="128"/>
      <c r="Q121" s="128"/>
      <c r="R121" s="128"/>
      <c r="S121" s="128"/>
      <c r="T121" s="128"/>
    </row>
    <row r="122" spans="1:20" ht="14.1" customHeight="1" x14ac:dyDescent="0.2">
      <c r="A122" s="120">
        <v>14</v>
      </c>
      <c r="B122" s="276"/>
      <c r="C122" s="137"/>
      <c r="F122" s="128"/>
      <c r="G122" s="128"/>
      <c r="H122" s="128"/>
      <c r="I122" s="128"/>
      <c r="J122" s="128"/>
      <c r="K122" s="128"/>
      <c r="L122" s="128"/>
      <c r="M122" s="128"/>
      <c r="N122" s="128"/>
      <c r="O122" s="128"/>
      <c r="Q122" s="128"/>
      <c r="R122" s="128"/>
      <c r="S122" s="128"/>
      <c r="T122" s="128"/>
    </row>
    <row r="123" spans="1:20" ht="14.1" customHeight="1" x14ac:dyDescent="0.2">
      <c r="A123" s="120">
        <v>15</v>
      </c>
      <c r="B123" s="276"/>
      <c r="C123" s="137"/>
      <c r="F123" s="128"/>
      <c r="G123" s="128"/>
      <c r="H123" s="128"/>
      <c r="I123" s="128"/>
      <c r="J123" s="128"/>
      <c r="K123" s="128"/>
      <c r="L123" s="128"/>
      <c r="M123" s="128"/>
      <c r="N123" s="128"/>
      <c r="O123" s="128"/>
      <c r="Q123" s="128"/>
      <c r="R123" s="128"/>
      <c r="S123" s="128"/>
      <c r="T123" s="128"/>
    </row>
    <row r="124" spans="1:20" ht="14.1" customHeight="1" x14ac:dyDescent="0.2">
      <c r="A124" s="120">
        <v>16</v>
      </c>
      <c r="B124" s="276"/>
      <c r="C124" s="137"/>
      <c r="F124" s="128"/>
      <c r="G124" s="128"/>
      <c r="H124" s="128"/>
      <c r="I124" s="128"/>
      <c r="J124" s="128"/>
      <c r="K124" s="128"/>
      <c r="L124" s="128"/>
      <c r="M124" s="128"/>
      <c r="N124" s="128"/>
      <c r="O124" s="128"/>
      <c r="Q124" s="128"/>
      <c r="R124" s="128"/>
      <c r="S124" s="128"/>
      <c r="T124" s="128"/>
    </row>
    <row r="125" spans="1:20" ht="14.1" customHeight="1" x14ac:dyDescent="0.2">
      <c r="A125" s="120">
        <v>17</v>
      </c>
      <c r="B125" s="276"/>
      <c r="C125" s="137"/>
      <c r="F125" s="128"/>
      <c r="G125" s="128"/>
      <c r="H125" s="128"/>
      <c r="I125" s="128"/>
      <c r="J125" s="128"/>
      <c r="K125" s="128"/>
      <c r="L125" s="128"/>
      <c r="M125" s="128"/>
      <c r="N125" s="128"/>
      <c r="O125" s="128"/>
      <c r="Q125" s="128"/>
      <c r="R125" s="128"/>
      <c r="S125" s="128"/>
      <c r="T125" s="128"/>
    </row>
    <row r="126" spans="1:20" ht="14.1" customHeight="1" x14ac:dyDescent="0.2">
      <c r="A126" s="120">
        <v>18</v>
      </c>
      <c r="B126" s="276"/>
      <c r="C126" s="137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Q126" s="128"/>
      <c r="R126" s="128"/>
      <c r="S126" s="128"/>
      <c r="T126" s="128"/>
    </row>
    <row r="127" spans="1:20" ht="14.1" customHeight="1" x14ac:dyDescent="0.2">
      <c r="A127" s="120">
        <v>19</v>
      </c>
      <c r="B127" s="276"/>
      <c r="C127" s="137"/>
      <c r="F127" s="128"/>
      <c r="G127" s="128"/>
      <c r="H127" s="128"/>
      <c r="I127" s="128"/>
      <c r="J127" s="128"/>
      <c r="K127" s="128"/>
      <c r="L127" s="128"/>
      <c r="M127" s="128"/>
      <c r="N127" s="128"/>
      <c r="O127" s="128"/>
      <c r="Q127" s="128"/>
      <c r="R127" s="128"/>
      <c r="S127" s="128"/>
      <c r="T127" s="128"/>
    </row>
    <row r="128" spans="1:20" ht="14.1" customHeight="1" x14ac:dyDescent="0.2">
      <c r="A128" s="120">
        <v>20</v>
      </c>
      <c r="B128" s="276"/>
      <c r="C128" s="137"/>
      <c r="F128" s="128"/>
      <c r="G128" s="128"/>
      <c r="H128" s="128"/>
      <c r="I128" s="128"/>
      <c r="J128" s="128"/>
      <c r="K128" s="128"/>
      <c r="L128" s="128"/>
      <c r="M128" s="128"/>
      <c r="N128" s="128"/>
      <c r="O128" s="128"/>
      <c r="Q128" s="128"/>
      <c r="R128" s="128"/>
      <c r="S128" s="128"/>
      <c r="T128" s="128"/>
    </row>
    <row r="129" spans="1:20" ht="14.1" customHeight="1" x14ac:dyDescent="0.2">
      <c r="A129" s="120">
        <v>21</v>
      </c>
      <c r="B129" s="276"/>
      <c r="C129" s="137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Q129" s="128"/>
      <c r="R129" s="128"/>
      <c r="S129" s="128"/>
      <c r="T129" s="128"/>
    </row>
    <row r="130" spans="1:20" ht="14.1" customHeight="1" x14ac:dyDescent="0.2">
      <c r="A130" s="120">
        <v>22</v>
      </c>
      <c r="B130" s="276"/>
      <c r="C130" s="137"/>
      <c r="F130" s="128"/>
      <c r="G130" s="128"/>
      <c r="H130" s="128"/>
      <c r="I130" s="128"/>
      <c r="J130" s="128"/>
      <c r="K130" s="128"/>
      <c r="L130" s="128"/>
      <c r="M130" s="128"/>
      <c r="N130" s="128"/>
      <c r="O130" s="128"/>
      <c r="Q130" s="128"/>
      <c r="R130" s="128"/>
      <c r="S130" s="128"/>
      <c r="T130" s="128"/>
    </row>
    <row r="131" spans="1:20" ht="14.1" customHeight="1" x14ac:dyDescent="0.2">
      <c r="A131" s="120">
        <v>23</v>
      </c>
      <c r="B131" s="276"/>
      <c r="C131" s="137"/>
      <c r="F131" s="128"/>
      <c r="G131" s="128"/>
      <c r="H131" s="128"/>
      <c r="I131" s="128"/>
      <c r="J131" s="128"/>
      <c r="K131" s="128"/>
      <c r="L131" s="128"/>
      <c r="M131" s="128"/>
      <c r="N131" s="128"/>
      <c r="O131" s="128"/>
      <c r="Q131" s="128"/>
      <c r="R131" s="128"/>
      <c r="S131" s="128"/>
      <c r="T131" s="128"/>
    </row>
    <row r="132" spans="1:20" ht="14.1" customHeight="1" x14ac:dyDescent="0.2">
      <c r="A132" s="120">
        <v>24</v>
      </c>
      <c r="B132" s="276"/>
      <c r="C132" s="137"/>
      <c r="F132" s="128"/>
      <c r="G132" s="128"/>
      <c r="H132" s="128"/>
      <c r="I132" s="128"/>
      <c r="J132" s="128"/>
      <c r="K132" s="128"/>
      <c r="L132" s="128"/>
      <c r="M132" s="128"/>
      <c r="N132" s="128"/>
      <c r="O132" s="128"/>
      <c r="Q132" s="128"/>
      <c r="R132" s="128"/>
      <c r="S132" s="128"/>
      <c r="T132" s="128"/>
    </row>
    <row r="133" spans="1:20" ht="14.1" customHeight="1" x14ac:dyDescent="0.2">
      <c r="A133" s="120">
        <v>25</v>
      </c>
      <c r="B133" s="276"/>
      <c r="C133" s="137"/>
      <c r="F133" s="128"/>
      <c r="G133" s="128"/>
      <c r="H133" s="128"/>
      <c r="I133" s="128"/>
      <c r="J133" s="128"/>
      <c r="K133" s="128"/>
      <c r="L133" s="128"/>
      <c r="M133" s="128"/>
      <c r="N133" s="128"/>
      <c r="O133" s="128"/>
      <c r="Q133" s="128"/>
      <c r="R133" s="128"/>
      <c r="S133" s="128"/>
      <c r="T133" s="128"/>
    </row>
    <row r="134" spans="1:20" ht="14.1" customHeight="1" x14ac:dyDescent="0.2">
      <c r="A134" s="120">
        <v>26</v>
      </c>
      <c r="B134" s="276"/>
      <c r="C134" s="137"/>
      <c r="F134" s="128"/>
      <c r="G134" s="128"/>
      <c r="H134" s="128"/>
      <c r="I134" s="128"/>
      <c r="J134" s="128"/>
      <c r="K134" s="128"/>
      <c r="L134" s="128"/>
      <c r="M134" s="128"/>
      <c r="N134" s="128"/>
      <c r="O134" s="128"/>
      <c r="Q134" s="128"/>
      <c r="R134" s="128"/>
      <c r="S134" s="128"/>
      <c r="T134" s="128"/>
    </row>
    <row r="135" spans="1:20" ht="14.1" customHeight="1" x14ac:dyDescent="0.2">
      <c r="A135" s="120">
        <v>27</v>
      </c>
      <c r="B135" s="276"/>
      <c r="C135" s="137"/>
      <c r="F135" s="128"/>
      <c r="G135" s="128"/>
      <c r="H135" s="128"/>
      <c r="I135" s="128"/>
      <c r="J135" s="128"/>
      <c r="K135" s="128"/>
      <c r="L135" s="128"/>
      <c r="M135" s="128"/>
      <c r="N135" s="128"/>
      <c r="O135" s="128"/>
      <c r="Q135" s="128"/>
      <c r="R135" s="128"/>
      <c r="S135" s="128"/>
      <c r="T135" s="128"/>
    </row>
    <row r="136" spans="1:20" ht="14.1" customHeight="1" x14ac:dyDescent="0.2">
      <c r="A136" s="120">
        <v>28</v>
      </c>
      <c r="B136" s="276"/>
      <c r="C136" s="137"/>
      <c r="F136" s="128"/>
      <c r="G136" s="128"/>
      <c r="H136" s="128"/>
      <c r="I136" s="128"/>
      <c r="J136" s="128"/>
      <c r="K136" s="128"/>
      <c r="L136" s="128"/>
      <c r="M136" s="128"/>
      <c r="N136" s="128"/>
      <c r="O136" s="128"/>
      <c r="Q136" s="128"/>
      <c r="R136" s="128"/>
      <c r="S136" s="128"/>
      <c r="T136" s="128"/>
    </row>
    <row r="137" spans="1:20" ht="14.1" customHeight="1" x14ac:dyDescent="0.2">
      <c r="A137" s="120">
        <v>29</v>
      </c>
      <c r="B137" s="276"/>
      <c r="C137" s="137"/>
      <c r="F137" s="128"/>
      <c r="G137" s="128"/>
      <c r="H137" s="128"/>
      <c r="I137" s="128"/>
      <c r="J137" s="128"/>
      <c r="K137" s="128"/>
      <c r="L137" s="128"/>
      <c r="M137" s="128"/>
      <c r="N137" s="128"/>
      <c r="O137" s="128"/>
      <c r="Q137" s="128"/>
      <c r="R137" s="128"/>
      <c r="S137" s="128"/>
      <c r="T137" s="128"/>
    </row>
    <row r="138" spans="1:20" ht="14.1" customHeight="1" x14ac:dyDescent="0.2">
      <c r="A138" s="120">
        <v>30</v>
      </c>
      <c r="B138" s="276"/>
      <c r="C138" s="137"/>
      <c r="F138" s="128"/>
      <c r="G138" s="128"/>
      <c r="H138" s="128"/>
      <c r="I138" s="128"/>
      <c r="J138" s="128"/>
      <c r="K138" s="128"/>
      <c r="L138" s="128"/>
      <c r="M138" s="128"/>
      <c r="N138" s="128"/>
      <c r="O138" s="128"/>
      <c r="Q138" s="128"/>
      <c r="R138" s="128"/>
      <c r="S138" s="128"/>
      <c r="T138" s="128"/>
    </row>
    <row r="139" spans="1:20" ht="14.1" customHeight="1" x14ac:dyDescent="0.2">
      <c r="A139" s="120">
        <v>31</v>
      </c>
      <c r="B139" s="276"/>
      <c r="C139" s="137"/>
      <c r="F139" s="128"/>
      <c r="G139" s="128"/>
      <c r="H139" s="128"/>
      <c r="I139" s="128"/>
      <c r="J139" s="128"/>
      <c r="K139" s="128"/>
      <c r="L139" s="128"/>
      <c r="M139" s="128"/>
      <c r="N139" s="128"/>
      <c r="O139" s="128"/>
      <c r="Q139" s="128"/>
      <c r="R139" s="128"/>
      <c r="S139" s="128"/>
      <c r="T139" s="128"/>
    </row>
    <row r="140" spans="1:20" ht="14.1" customHeight="1" x14ac:dyDescent="0.2">
      <c r="A140" s="120">
        <v>32</v>
      </c>
      <c r="B140" s="276"/>
      <c r="C140" s="137"/>
      <c r="F140" s="128"/>
      <c r="G140" s="128"/>
      <c r="H140" s="128"/>
      <c r="I140" s="128"/>
      <c r="J140" s="128"/>
      <c r="K140" s="128"/>
      <c r="L140" s="128"/>
      <c r="M140" s="128"/>
      <c r="N140" s="128"/>
      <c r="O140" s="128"/>
      <c r="Q140" s="128"/>
      <c r="R140" s="128"/>
      <c r="S140" s="128"/>
      <c r="T140" s="128"/>
    </row>
    <row r="141" spans="1:20" ht="14.1" customHeight="1" x14ac:dyDescent="0.2">
      <c r="A141" s="120">
        <v>33</v>
      </c>
      <c r="B141" s="276"/>
      <c r="C141" s="137"/>
      <c r="F141" s="128"/>
      <c r="G141" s="128"/>
      <c r="H141" s="128"/>
      <c r="I141" s="128"/>
      <c r="J141" s="128"/>
      <c r="K141" s="128"/>
      <c r="L141" s="128"/>
      <c r="M141" s="128"/>
      <c r="N141" s="128"/>
      <c r="O141" s="128"/>
      <c r="Q141" s="128"/>
      <c r="R141" s="128"/>
      <c r="S141" s="128"/>
      <c r="T141" s="128"/>
    </row>
    <row r="142" spans="1:20" ht="14.1" customHeight="1" x14ac:dyDescent="0.2">
      <c r="A142" s="120">
        <v>34</v>
      </c>
      <c r="B142" s="276"/>
      <c r="C142" s="137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Q142" s="128"/>
      <c r="R142" s="128"/>
      <c r="S142" s="128"/>
      <c r="T142" s="128"/>
    </row>
    <row r="143" spans="1:20" ht="14.1" customHeight="1" x14ac:dyDescent="0.2">
      <c r="A143" s="120">
        <v>35</v>
      </c>
      <c r="B143" s="276"/>
      <c r="C143" s="137"/>
      <c r="F143" s="128"/>
      <c r="G143" s="128"/>
      <c r="H143" s="128"/>
      <c r="I143" s="128"/>
      <c r="J143" s="128"/>
      <c r="K143" s="128"/>
      <c r="L143" s="128"/>
      <c r="M143" s="128"/>
      <c r="N143" s="128"/>
      <c r="O143" s="128"/>
      <c r="Q143" s="128"/>
      <c r="R143" s="128"/>
      <c r="S143" s="128"/>
      <c r="T143" s="128"/>
    </row>
    <row r="144" spans="1:20" ht="14.1" customHeight="1" thickBot="1" x14ac:dyDescent="0.25">
      <c r="A144" s="118">
        <v>36</v>
      </c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</row>
    <row r="145" spans="1:20" ht="14.1" customHeight="1" x14ac:dyDescent="0.2">
      <c r="A145" s="113" t="str">
        <f>+$A$49</f>
        <v>Supporting Schedules:  E-7, E-14 Supplement</v>
      </c>
      <c r="R145" s="113" t="s">
        <v>1369</v>
      </c>
    </row>
    <row r="146" spans="1:20" ht="14.1" customHeight="1" thickBot="1" x14ac:dyDescent="0.25">
      <c r="A146" s="114" t="str">
        <f>+$A$2</f>
        <v>SCHEDULE A-3</v>
      </c>
      <c r="B146" s="114"/>
      <c r="C146" s="114"/>
      <c r="D146" s="114"/>
      <c r="E146" s="114"/>
      <c r="F146" s="114"/>
      <c r="G146" s="114"/>
      <c r="H146" s="114"/>
      <c r="I146" s="114" t="str">
        <f>+$I$2</f>
        <v>SUMMARY OF TARIFFS</v>
      </c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263" t="s">
        <v>1430</v>
      </c>
    </row>
    <row r="147" spans="1:20" ht="14.1" customHeight="1" x14ac:dyDescent="0.2">
      <c r="A147" s="113" t="s">
        <v>307</v>
      </c>
      <c r="F147" s="117" t="s">
        <v>1405</v>
      </c>
      <c r="G147" s="113" t="s">
        <v>1406</v>
      </c>
      <c r="L147" s="115"/>
      <c r="M147" s="115"/>
      <c r="O147" s="115"/>
      <c r="P147" s="115"/>
      <c r="Q147" s="115" t="s">
        <v>845</v>
      </c>
      <c r="T147" s="116"/>
    </row>
    <row r="148" spans="1:20" ht="14.1" customHeight="1" x14ac:dyDescent="0.2">
      <c r="G148" s="113" t="s">
        <v>1407</v>
      </c>
      <c r="L148" s="117"/>
      <c r="M148" s="116"/>
      <c r="P148" s="117"/>
      <c r="Q148" s="11" t="s">
        <v>916</v>
      </c>
      <c r="R148" s="10" t="s">
        <v>1512</v>
      </c>
      <c r="T148" s="117"/>
    </row>
    <row r="149" spans="1:20" ht="14.1" customHeight="1" x14ac:dyDescent="0.2">
      <c r="A149" s="113" t="s">
        <v>310</v>
      </c>
      <c r="L149" s="117"/>
      <c r="M149" s="116"/>
      <c r="N149" s="117"/>
      <c r="Q149" s="11"/>
      <c r="R149" s="10"/>
      <c r="T149" s="117"/>
    </row>
    <row r="150" spans="1:20" ht="14.1" customHeight="1" x14ac:dyDescent="0.2">
      <c r="L150" s="117"/>
      <c r="M150" s="116"/>
      <c r="N150" s="117"/>
      <c r="Q150" s="11"/>
      <c r="R150" s="10"/>
      <c r="T150" s="117"/>
    </row>
    <row r="151" spans="1:20" ht="14.1" customHeight="1" thickBot="1" x14ac:dyDescent="0.25">
      <c r="A151" s="114" t="s">
        <v>1521</v>
      </c>
      <c r="B151" s="114"/>
      <c r="C151" s="114"/>
      <c r="D151" s="114"/>
      <c r="E151" s="114"/>
      <c r="F151" s="114"/>
      <c r="G151" s="114"/>
      <c r="H151" s="114"/>
      <c r="I151" s="118"/>
      <c r="J151" s="114"/>
      <c r="K151" s="114"/>
      <c r="L151" s="114"/>
      <c r="M151" s="114"/>
      <c r="N151" s="114"/>
      <c r="O151" s="114"/>
      <c r="P151" s="114"/>
      <c r="Q151" s="114"/>
      <c r="R151" s="114" t="s">
        <v>1519</v>
      </c>
      <c r="S151" s="114"/>
      <c r="T151" s="114"/>
    </row>
    <row r="152" spans="1:20" ht="14.1" customHeight="1" x14ac:dyDescent="0.2">
      <c r="A152" s="113" t="str">
        <f>IF(+A$8="","",A$8)</f>
        <v/>
      </c>
      <c r="B152" s="120" t="str">
        <f t="shared" ref="B152:T152" si="10">IF(+B$8="","",B$8)</f>
        <v/>
      </c>
      <c r="C152" s="120" t="str">
        <f t="shared" si="10"/>
        <v>(1)</v>
      </c>
      <c r="D152" s="120" t="str">
        <f t="shared" si="10"/>
        <v/>
      </c>
      <c r="E152" s="120" t="str">
        <f t="shared" si="10"/>
        <v/>
      </c>
      <c r="F152" s="120" t="str">
        <f t="shared" si="10"/>
        <v>(2)</v>
      </c>
      <c r="G152" s="120" t="str">
        <f t="shared" si="10"/>
        <v/>
      </c>
      <c r="H152" s="120" t="str">
        <f>IF(+H$8="","",H$8)</f>
        <v/>
      </c>
      <c r="I152" s="120" t="str">
        <f>IF(+I$8="","",I$8)</f>
        <v>(3)</v>
      </c>
      <c r="J152" s="120" t="str">
        <f>IF(+J$8="","",J$8)</f>
        <v/>
      </c>
      <c r="K152" s="120"/>
      <c r="L152" s="120" t="str">
        <f t="shared" si="10"/>
        <v>(4)</v>
      </c>
      <c r="M152" s="120" t="str">
        <f t="shared" si="10"/>
        <v/>
      </c>
      <c r="N152" s="120" t="str">
        <f t="shared" si="10"/>
        <v>(5)</v>
      </c>
      <c r="O152" s="120" t="str">
        <f t="shared" si="10"/>
        <v/>
      </c>
      <c r="Q152" s="120" t="str">
        <f>IF(+Q$8="","",Q$8)</f>
        <v>(6)</v>
      </c>
      <c r="R152" s="120" t="str">
        <f t="shared" si="10"/>
        <v/>
      </c>
      <c r="S152" s="120" t="str">
        <f t="shared" si="10"/>
        <v/>
      </c>
      <c r="T152" s="120" t="str">
        <f t="shared" si="10"/>
        <v/>
      </c>
    </row>
    <row r="153" spans="1:20" ht="14.1" customHeight="1" x14ac:dyDescent="0.2">
      <c r="A153" s="113" t="str">
        <f>IF(+A$9="","",A$9)</f>
        <v/>
      </c>
      <c r="B153" s="120" t="str">
        <f t="shared" ref="B153:T153" si="11">IF(+B$9="","",B$9)</f>
        <v/>
      </c>
      <c r="C153" s="120" t="str">
        <f t="shared" si="11"/>
        <v/>
      </c>
      <c r="D153" s="120" t="str">
        <f t="shared" si="11"/>
        <v/>
      </c>
      <c r="E153" s="120" t="str">
        <f t="shared" si="11"/>
        <v/>
      </c>
      <c r="F153" s="120" t="str">
        <f t="shared" si="11"/>
        <v/>
      </c>
      <c r="G153" s="120" t="str">
        <f t="shared" si="11"/>
        <v/>
      </c>
      <c r="H153" s="120" t="str">
        <f>IF(+H$9="","",H$9)</f>
        <v/>
      </c>
      <c r="I153" s="120" t="str">
        <f>IF(+I$9="","",I$9)</f>
        <v/>
      </c>
      <c r="J153" s="120" t="str">
        <f>IF(+J$9="","",J$9)</f>
        <v/>
      </c>
      <c r="K153" s="120"/>
      <c r="L153" s="120" t="str">
        <f t="shared" si="11"/>
        <v/>
      </c>
      <c r="M153" s="120" t="str">
        <f t="shared" si="11"/>
        <v/>
      </c>
      <c r="N153" s="120" t="str">
        <f t="shared" si="11"/>
        <v/>
      </c>
      <c r="O153" s="120" t="str">
        <f t="shared" si="11"/>
        <v/>
      </c>
      <c r="Q153" s="120" t="str">
        <f>IF(+Q$9="","",Q$9)</f>
        <v/>
      </c>
      <c r="R153" s="120" t="str">
        <f t="shared" si="11"/>
        <v/>
      </c>
      <c r="S153" s="120" t="str">
        <f t="shared" si="11"/>
        <v/>
      </c>
      <c r="T153" s="120" t="str">
        <f t="shared" si="11"/>
        <v/>
      </c>
    </row>
    <row r="154" spans="1:20" ht="14.1" customHeight="1" x14ac:dyDescent="0.2">
      <c r="A154" s="113" t="str">
        <f>IF(+A$10="","",A$10)</f>
        <v/>
      </c>
      <c r="B154" s="120" t="str">
        <f t="shared" ref="B154:T154" si="12">IF(+B$10="","",B$10)</f>
        <v/>
      </c>
      <c r="C154" s="120" t="str">
        <f t="shared" si="12"/>
        <v xml:space="preserve">Current </v>
      </c>
      <c r="D154" s="120" t="str">
        <f t="shared" si="12"/>
        <v/>
      </c>
      <c r="E154" s="120" t="str">
        <f t="shared" si="12"/>
        <v/>
      </c>
      <c r="F154" s="120" t="str">
        <f t="shared" si="12"/>
        <v/>
      </c>
      <c r="G154" s="120" t="str">
        <f t="shared" si="12"/>
        <v/>
      </c>
      <c r="H154" s="120" t="str">
        <f>IF(+H$10="","",H$10)</f>
        <v/>
      </c>
      <c r="I154" s="120" t="str">
        <f>IF(+I$10="","",I$10)</f>
        <v/>
      </c>
      <c r="J154" s="120" t="str">
        <f>IF(+J$10="","",J$10)</f>
        <v/>
      </c>
      <c r="K154" s="120"/>
      <c r="L154" s="120" t="str">
        <f t="shared" si="12"/>
        <v>Proposed</v>
      </c>
      <c r="M154" s="120" t="str">
        <f t="shared" si="12"/>
        <v/>
      </c>
      <c r="N154" s="120" t="str">
        <f t="shared" si="12"/>
        <v/>
      </c>
      <c r="O154" s="120" t="str">
        <f t="shared" si="12"/>
        <v/>
      </c>
      <c r="Q154" s="120" t="str">
        <f>IF(+Q$10="","",Q$10)</f>
        <v>Percent</v>
      </c>
      <c r="R154" s="120" t="str">
        <f t="shared" si="12"/>
        <v/>
      </c>
      <c r="S154" s="120" t="str">
        <f t="shared" si="12"/>
        <v/>
      </c>
      <c r="T154" s="120" t="str">
        <f t="shared" si="12"/>
        <v/>
      </c>
    </row>
    <row r="155" spans="1:20" ht="14.1" customHeight="1" x14ac:dyDescent="0.2">
      <c r="A155" s="120" t="str">
        <f>IF(+A$11="","",A$11)</f>
        <v>Line</v>
      </c>
      <c r="B155" s="120" t="str">
        <f t="shared" ref="B155:T155" si="13">IF(+B$11="","",B$11)</f>
        <v/>
      </c>
      <c r="C155" s="120" t="str">
        <f t="shared" si="13"/>
        <v>Rate</v>
      </c>
      <c r="D155" s="120" t="str">
        <f t="shared" si="13"/>
        <v/>
      </c>
      <c r="E155" s="120" t="str">
        <f t="shared" si="13"/>
        <v/>
      </c>
      <c r="F155" s="120" t="str">
        <f t="shared" si="13"/>
        <v/>
      </c>
      <c r="G155" s="120" t="str">
        <f t="shared" si="13"/>
        <v/>
      </c>
      <c r="H155" s="120" t="str">
        <f>IF(+H$11="","",H$11)</f>
        <v/>
      </c>
      <c r="I155" s="120" t="str">
        <f>IF(+I$11="","",I$11)</f>
        <v>Current</v>
      </c>
      <c r="J155" s="120" t="str">
        <f>IF(+J$11="","",J$11)</f>
        <v/>
      </c>
      <c r="K155" s="120"/>
      <c r="L155" s="120" t="str">
        <f t="shared" si="13"/>
        <v>Rate</v>
      </c>
      <c r="M155" s="120" t="str">
        <f t="shared" si="13"/>
        <v/>
      </c>
      <c r="N155" s="120" t="str">
        <f t="shared" si="13"/>
        <v>Proposed</v>
      </c>
      <c r="O155" s="120" t="str">
        <f t="shared" si="13"/>
        <v/>
      </c>
      <c r="Q155" s="120" t="str">
        <f>IF(+Q$11="","",Q$11)</f>
        <v>Increase</v>
      </c>
      <c r="R155" s="120" t="str">
        <f t="shared" si="13"/>
        <v/>
      </c>
      <c r="S155" s="120" t="str">
        <f t="shared" si="13"/>
        <v/>
      </c>
      <c r="T155" s="120" t="str">
        <f t="shared" si="13"/>
        <v/>
      </c>
    </row>
    <row r="156" spans="1:20" ht="14.1" customHeight="1" thickBot="1" x14ac:dyDescent="0.25">
      <c r="A156" s="118" t="str">
        <f>IF(+A$12="","",A$12)</f>
        <v>No.</v>
      </c>
      <c r="B156" s="118" t="str">
        <f t="shared" ref="B156:T156" si="14">IF(+B$12="","",B$12)</f>
        <v/>
      </c>
      <c r="C156" s="118" t="str">
        <f t="shared" si="14"/>
        <v>Schedule</v>
      </c>
      <c r="D156" s="118" t="str">
        <f t="shared" si="14"/>
        <v/>
      </c>
      <c r="E156" s="118"/>
      <c r="F156" s="118" t="str">
        <f t="shared" si="14"/>
        <v>Type of Charge</v>
      </c>
      <c r="G156" s="118"/>
      <c r="H156" s="118" t="str">
        <f>IF(+H$12="","",H$12)</f>
        <v/>
      </c>
      <c r="I156" s="118" t="str">
        <f>IF(+I$12="","",I$12)</f>
        <v>Rate</v>
      </c>
      <c r="J156" s="118" t="str">
        <f>IF(+J$12="","",J$12)</f>
        <v/>
      </c>
      <c r="K156" s="118"/>
      <c r="L156" s="118" t="str">
        <f t="shared" si="14"/>
        <v>Schedule</v>
      </c>
      <c r="M156" s="118" t="str">
        <f t="shared" si="14"/>
        <v/>
      </c>
      <c r="N156" s="118" t="str">
        <f t="shared" si="14"/>
        <v>Rate</v>
      </c>
      <c r="O156" s="118" t="str">
        <f t="shared" si="14"/>
        <v/>
      </c>
      <c r="P156" s="114"/>
      <c r="Q156" s="118" t="str">
        <f>IF(+Q$12="","",Q$12)</f>
        <v>((5)-(3))/(3)</v>
      </c>
      <c r="R156" s="118" t="str">
        <f t="shared" si="14"/>
        <v/>
      </c>
      <c r="S156" s="118" t="str">
        <f t="shared" si="14"/>
        <v/>
      </c>
      <c r="T156" s="118" t="str">
        <f t="shared" si="14"/>
        <v/>
      </c>
    </row>
    <row r="157" spans="1:20" ht="14.1" customHeight="1" x14ac:dyDescent="0.2">
      <c r="A157" s="120">
        <v>1</v>
      </c>
      <c r="B157" s="340"/>
      <c r="C157" s="305" t="s">
        <v>1431</v>
      </c>
      <c r="D157" s="137"/>
      <c r="G157" s="124"/>
      <c r="H157" s="137"/>
      <c r="J157" s="137"/>
      <c r="K157" s="137"/>
      <c r="L157" s="305" t="s">
        <v>1431</v>
      </c>
      <c r="M157" s="137"/>
      <c r="N157" s="137"/>
      <c r="O157" s="137"/>
      <c r="Q157" s="137"/>
      <c r="R157" s="137"/>
      <c r="S157" s="137"/>
      <c r="T157" s="137"/>
    </row>
    <row r="158" spans="1:20" ht="14.1" customHeight="1" x14ac:dyDescent="0.2">
      <c r="A158" s="120">
        <v>2</v>
      </c>
      <c r="B158" s="340"/>
      <c r="C158" s="305"/>
      <c r="D158" s="137"/>
      <c r="E158" s="330" t="s">
        <v>326</v>
      </c>
      <c r="G158" s="124"/>
      <c r="H158" s="137"/>
      <c r="J158" s="137"/>
      <c r="K158" s="137"/>
      <c r="L158" s="305"/>
      <c r="M158" s="137"/>
      <c r="N158" s="137"/>
      <c r="O158" s="137"/>
      <c r="Q158" s="137"/>
      <c r="R158" s="137"/>
      <c r="S158" s="137"/>
      <c r="T158" s="137"/>
    </row>
    <row r="159" spans="1:20" ht="14.1" customHeight="1" x14ac:dyDescent="0.2">
      <c r="A159" s="120">
        <v>3</v>
      </c>
      <c r="B159" s="276"/>
      <c r="F159" s="147" t="s">
        <v>772</v>
      </c>
      <c r="G159" s="124"/>
      <c r="H159" s="137"/>
      <c r="I159" s="288">
        <f>'2027 GSD Rate Class E-13c'!K18</f>
        <v>1.8221798095199999</v>
      </c>
      <c r="J159" s="137" t="s">
        <v>1414</v>
      </c>
      <c r="K159" s="137"/>
      <c r="L159" s="305"/>
      <c r="M159" s="137"/>
      <c r="N159" s="288">
        <f>'2027 GSD Rate Class E-13c'!R18</f>
        <v>1.8955389787430039</v>
      </c>
      <c r="O159" s="328" t="s">
        <v>1414</v>
      </c>
      <c r="Q159" s="125">
        <f t="shared" ref="Q159:Q167" si="15">IF(I159=0,0,+(N159-I159)/I159)</f>
        <v>4.0259017710402759E-2</v>
      </c>
      <c r="R159" s="137"/>
      <c r="S159" s="137"/>
      <c r="T159" s="137"/>
    </row>
    <row r="160" spans="1:20" ht="14.1" customHeight="1" x14ac:dyDescent="0.2">
      <c r="A160" s="120">
        <v>4</v>
      </c>
      <c r="B160" s="276"/>
      <c r="F160" s="147" t="s">
        <v>745</v>
      </c>
      <c r="I160" s="288">
        <f>'2027 GSD Rate Class E-13c'!K19</f>
        <v>9.9160482657599989</v>
      </c>
      <c r="J160" s="137" t="s">
        <v>1414</v>
      </c>
      <c r="K160" s="137"/>
      <c r="N160" s="288">
        <f>'2027 GSD Rate Class E-13c'!R19</f>
        <v>10.315258628508438</v>
      </c>
      <c r="O160" s="328" t="s">
        <v>1414</v>
      </c>
      <c r="Q160" s="125">
        <f t="shared" si="15"/>
        <v>4.0259017710402654E-2</v>
      </c>
      <c r="R160" s="137"/>
      <c r="S160" s="137"/>
      <c r="T160" s="137"/>
    </row>
    <row r="161" spans="1:20" ht="14.1" customHeight="1" x14ac:dyDescent="0.2">
      <c r="A161" s="120">
        <v>5</v>
      </c>
      <c r="B161" s="276"/>
      <c r="F161" s="147" t="s">
        <v>768</v>
      </c>
      <c r="I161" s="288">
        <f>'2027 GSD Rate Class E-13c'!K20</f>
        <v>27.290320868160002</v>
      </c>
      <c r="J161" s="137" t="s">
        <v>1414</v>
      </c>
      <c r="K161" s="137"/>
      <c r="N161" s="288">
        <f>'2027 GSD Rate Class E-13c'!R20</f>
        <v>28.38900237931383</v>
      </c>
      <c r="O161" s="328" t="s">
        <v>1414</v>
      </c>
      <c r="Q161" s="125">
        <f t="shared" si="15"/>
        <v>4.0259017710402765E-2</v>
      </c>
      <c r="R161" s="128"/>
      <c r="S161" s="128"/>
      <c r="T161" s="128"/>
    </row>
    <row r="162" spans="1:20" ht="14.1" customHeight="1" x14ac:dyDescent="0.2">
      <c r="A162" s="120">
        <v>6</v>
      </c>
      <c r="B162" s="276"/>
      <c r="C162" s="124"/>
      <c r="F162" s="113" t="s">
        <v>1432</v>
      </c>
      <c r="H162" s="128"/>
      <c r="I162" s="288">
        <f>'2027 GSD Rate Class E-13c'!K126</f>
        <v>1.8221798095199999</v>
      </c>
      <c r="J162" s="137" t="s">
        <v>1414</v>
      </c>
      <c r="K162" s="137"/>
      <c r="L162" s="128"/>
      <c r="M162" s="122"/>
      <c r="N162" s="288">
        <f>'2027 GSD Rate Class E-13c'!R126</f>
        <v>1.8955389787430039</v>
      </c>
      <c r="O162" s="328" t="s">
        <v>1414</v>
      </c>
      <c r="Q162" s="125">
        <f t="shared" si="15"/>
        <v>4.0259017710402759E-2</v>
      </c>
      <c r="R162" s="128"/>
      <c r="S162" s="128"/>
      <c r="T162" s="128"/>
    </row>
    <row r="163" spans="1:20" ht="14.1" customHeight="1" x14ac:dyDescent="0.2">
      <c r="A163" s="120">
        <v>7</v>
      </c>
      <c r="B163" s="276"/>
      <c r="C163" s="124"/>
      <c r="F163" s="113" t="s">
        <v>1433</v>
      </c>
      <c r="I163" s="288">
        <f>'2027 GSD Rate Class E-13c'!K127</f>
        <v>9.9160482657599989</v>
      </c>
      <c r="J163" s="137" t="s">
        <v>1414</v>
      </c>
      <c r="K163" s="137"/>
      <c r="N163" s="288">
        <f>'2027 GSD Rate Class E-13c'!R127</f>
        <v>10.315258628508438</v>
      </c>
      <c r="O163" s="328" t="s">
        <v>1414</v>
      </c>
      <c r="Q163" s="125">
        <f t="shared" si="15"/>
        <v>4.0259017710402654E-2</v>
      </c>
      <c r="R163" s="128"/>
      <c r="S163" s="128"/>
      <c r="T163" s="128"/>
    </row>
    <row r="164" spans="1:20" ht="14.1" customHeight="1" x14ac:dyDescent="0.2">
      <c r="A164" s="120">
        <v>8</v>
      </c>
      <c r="B164" s="276"/>
      <c r="C164" s="124"/>
      <c r="F164" s="113" t="s">
        <v>1434</v>
      </c>
      <c r="I164" s="288">
        <f>'2027 GSD Rate Class E-13c'!K128</f>
        <v>27.290320868160002</v>
      </c>
      <c r="J164" s="137" t="s">
        <v>1414</v>
      </c>
      <c r="K164" s="137"/>
      <c r="N164" s="288">
        <f>'2027 GSD Rate Class E-13c'!R128</f>
        <v>28.38900237931383</v>
      </c>
      <c r="O164" s="328" t="s">
        <v>1414</v>
      </c>
      <c r="Q164" s="125">
        <f t="shared" si="15"/>
        <v>4.0259017710402765E-2</v>
      </c>
      <c r="R164" s="128"/>
      <c r="S164" s="128"/>
      <c r="T164" s="128"/>
    </row>
    <row r="165" spans="1:20" ht="14.1" customHeight="1" x14ac:dyDescent="0.2">
      <c r="A165" s="120">
        <v>9</v>
      </c>
      <c r="B165" s="276"/>
      <c r="C165" s="124"/>
      <c r="F165" s="113" t="s">
        <v>1435</v>
      </c>
      <c r="H165" s="137"/>
      <c r="I165" s="288">
        <f>'2027 GSD Rate Class E-13c'!K21</f>
        <v>1.8221798095199999</v>
      </c>
      <c r="J165" s="137" t="s">
        <v>1414</v>
      </c>
      <c r="K165" s="137"/>
      <c r="L165" s="137"/>
      <c r="M165" s="124"/>
      <c r="N165" s="288">
        <f>'2027 GSD Rate Class E-13c'!R21</f>
        <v>1.8955389787430039</v>
      </c>
      <c r="O165" s="328" t="s">
        <v>1414</v>
      </c>
      <c r="Q165" s="125">
        <f t="shared" si="15"/>
        <v>4.0259017710402759E-2</v>
      </c>
      <c r="R165" s="128"/>
      <c r="S165" s="128"/>
      <c r="T165" s="128"/>
    </row>
    <row r="166" spans="1:20" ht="14.1" customHeight="1" x14ac:dyDescent="0.2">
      <c r="A166" s="120">
        <v>10</v>
      </c>
      <c r="B166" s="276"/>
      <c r="C166" s="124"/>
      <c r="F166" s="113" t="s">
        <v>1436</v>
      </c>
      <c r="I166" s="288">
        <f>'2027 GSD Rate Class E-13c'!K22</f>
        <v>9.9160482657599989</v>
      </c>
      <c r="J166" s="137" t="s">
        <v>1414</v>
      </c>
      <c r="K166" s="137"/>
      <c r="N166" s="288">
        <f>'2027 GSD Rate Class E-13c'!R22</f>
        <v>10.315258628508438</v>
      </c>
      <c r="O166" s="328" t="s">
        <v>1414</v>
      </c>
      <c r="Q166" s="125">
        <f t="shared" si="15"/>
        <v>4.0259017710402654E-2</v>
      </c>
      <c r="R166" s="128"/>
      <c r="S166" s="128"/>
      <c r="T166" s="128"/>
    </row>
    <row r="167" spans="1:20" ht="14.1" customHeight="1" x14ac:dyDescent="0.2">
      <c r="A167" s="120">
        <v>11</v>
      </c>
      <c r="B167" s="276"/>
      <c r="C167" s="137"/>
      <c r="F167" s="113" t="s">
        <v>1437</v>
      </c>
      <c r="I167" s="288">
        <f>'2027 GSD Rate Class E-13c'!K23</f>
        <v>27.290320868160002</v>
      </c>
      <c r="J167" s="137" t="s">
        <v>1414</v>
      </c>
      <c r="K167" s="137"/>
      <c r="N167" s="288">
        <f>'2027 GSD Rate Class E-13c'!R23</f>
        <v>28.38900237931383</v>
      </c>
      <c r="O167" s="328" t="s">
        <v>1414</v>
      </c>
      <c r="Q167" s="125">
        <f t="shared" si="15"/>
        <v>4.0259017710402765E-2</v>
      </c>
      <c r="R167" s="128"/>
      <c r="S167" s="128"/>
      <c r="T167" s="128"/>
    </row>
    <row r="168" spans="1:20" ht="14.1" customHeight="1" x14ac:dyDescent="0.2">
      <c r="A168" s="120">
        <v>12</v>
      </c>
      <c r="B168" s="276"/>
      <c r="C168" s="137"/>
      <c r="E168" s="342" t="s">
        <v>342</v>
      </c>
      <c r="G168" s="124"/>
      <c r="H168" s="128"/>
      <c r="I168" s="288"/>
      <c r="J168" s="122"/>
      <c r="K168" s="122"/>
      <c r="L168" s="128"/>
      <c r="M168" s="122"/>
      <c r="N168" s="288"/>
      <c r="O168" s="122"/>
      <c r="Q168" s="364"/>
      <c r="R168" s="128"/>
      <c r="S168" s="128"/>
      <c r="T168" s="128"/>
    </row>
    <row r="169" spans="1:20" ht="14.1" customHeight="1" x14ac:dyDescent="0.2">
      <c r="A169" s="120">
        <v>13</v>
      </c>
      <c r="B169" s="276"/>
      <c r="C169" s="137"/>
      <c r="F169" s="147" t="s">
        <v>327</v>
      </c>
      <c r="H169" s="128"/>
      <c r="I169" s="338">
        <f>'2027 GSD Rate Class E-13c'!K27</f>
        <v>8.1870962604480013E-3</v>
      </c>
      <c r="J169" s="334" t="s">
        <v>1418</v>
      </c>
      <c r="K169" s="128"/>
      <c r="L169" s="128"/>
      <c r="M169" s="128"/>
      <c r="N169" s="338">
        <f>'2027 GSD Rate Class E-13c'!R27</f>
        <v>8.5167007137941491E-3</v>
      </c>
      <c r="O169" s="334" t="s">
        <v>1418</v>
      </c>
      <c r="Q169" s="125">
        <f>IF(I169=0,0,+(N169-I169)/I169)</f>
        <v>4.0259017710402696E-2</v>
      </c>
      <c r="R169" s="128"/>
      <c r="S169" s="128"/>
      <c r="T169" s="128"/>
    </row>
    <row r="170" spans="1:20" ht="14.1" customHeight="1" x14ac:dyDescent="0.2">
      <c r="A170" s="120">
        <v>14</v>
      </c>
      <c r="B170" s="276"/>
      <c r="C170" s="137"/>
      <c r="F170" s="113" t="s">
        <v>1438</v>
      </c>
      <c r="H170" s="128"/>
      <c r="I170" s="338">
        <f>'2027 GSD Rate Class E-13c'!K132</f>
        <v>8.901864361304701E-2</v>
      </c>
      <c r="J170" s="334" t="s">
        <v>1418</v>
      </c>
      <c r="K170" s="128"/>
      <c r="L170" s="128"/>
      <c r="M170" s="128"/>
      <c r="N170" s="338">
        <f>'2027 GSD Rate Class E-13c'!R132</f>
        <v>9.26024467628207E-2</v>
      </c>
      <c r="O170" s="334" t="s">
        <v>1418</v>
      </c>
      <c r="Q170" s="125">
        <f>IF(I170=0,0,+(N170-I170)/I170)</f>
        <v>4.0259017710402745E-2</v>
      </c>
    </row>
    <row r="171" spans="1:20" ht="14.1" customHeight="1" x14ac:dyDescent="0.2">
      <c r="A171" s="120">
        <v>15</v>
      </c>
      <c r="B171" s="276"/>
      <c r="C171" s="137"/>
      <c r="F171" s="113" t="s">
        <v>1439</v>
      </c>
      <c r="G171" s="124"/>
      <c r="H171" s="128"/>
      <c r="I171" s="338">
        <f>'2027 GSD Rate Class E-13c'!K30</f>
        <v>1.3170546158112001E-2</v>
      </c>
      <c r="J171" s="334" t="s">
        <v>1418</v>
      </c>
      <c r="K171" s="128"/>
      <c r="L171" s="128"/>
      <c r="M171" s="128"/>
      <c r="N171" s="338">
        <f>'2027 GSD Rate Class E-13c'!R30</f>
        <v>1.3700779409147108E-2</v>
      </c>
      <c r="O171" s="334" t="s">
        <v>1418</v>
      </c>
      <c r="Q171" s="125">
        <f>IF(I171=0,0,+(N171-I171)/I171)</f>
        <v>4.025901771040271E-2</v>
      </c>
    </row>
    <row r="172" spans="1:20" ht="14.1" customHeight="1" x14ac:dyDescent="0.2">
      <c r="A172" s="120">
        <v>16</v>
      </c>
      <c r="B172" s="276"/>
      <c r="C172" s="137"/>
      <c r="F172" s="113" t="s">
        <v>1440</v>
      </c>
      <c r="H172" s="128"/>
      <c r="I172" s="338">
        <f>'2027 GSD Rate Class E-13c'!K33</f>
        <v>8.6574729089519999E-3</v>
      </c>
      <c r="J172" s="334" t="s">
        <v>1418</v>
      </c>
      <c r="K172" s="128"/>
      <c r="L172" s="128"/>
      <c r="M172" s="128"/>
      <c r="N172" s="338">
        <f>'2027 GSD Rate Class E-13c'!R33</f>
        <v>9.0060142641208308E-3</v>
      </c>
      <c r="O172" s="334" t="s">
        <v>1418</v>
      </c>
      <c r="Q172" s="125">
        <f>IF(I172=0,0,+(N172-I172)/I172)</f>
        <v>4.0259017710402793E-2</v>
      </c>
      <c r="R172" s="128"/>
      <c r="S172" s="128"/>
      <c r="T172" s="128"/>
    </row>
    <row r="173" spans="1:20" ht="14.1" customHeight="1" x14ac:dyDescent="0.2">
      <c r="A173" s="120">
        <v>17</v>
      </c>
      <c r="F173" s="113" t="s">
        <v>1441</v>
      </c>
      <c r="I173" s="338">
        <f>'2027 GSD Rate Class E-13c'!K36</f>
        <v>4.8859844659920005E-3</v>
      </c>
      <c r="J173" s="334" t="s">
        <v>1418</v>
      </c>
      <c r="N173" s="338">
        <f>'2027 GSD Rate Class E-13c'!R36</f>
        <v>5.0826894011411251E-3</v>
      </c>
      <c r="O173" s="334" t="s">
        <v>1418</v>
      </c>
      <c r="Q173" s="125">
        <f>IF(I173=0,0,+(N173-I173)/I173)</f>
        <v>4.0259017710402738E-2</v>
      </c>
      <c r="R173" s="128"/>
      <c r="S173" s="128"/>
      <c r="T173" s="128"/>
    </row>
    <row r="174" spans="1:20" ht="14.1" customHeight="1" x14ac:dyDescent="0.2">
      <c r="A174" s="120">
        <v>18</v>
      </c>
      <c r="B174" s="276"/>
      <c r="C174" s="137"/>
      <c r="H174" s="128"/>
      <c r="I174" s="288"/>
      <c r="J174" s="128"/>
      <c r="K174" s="128"/>
      <c r="L174" s="128"/>
      <c r="M174" s="128"/>
      <c r="N174" s="288"/>
      <c r="O174" s="128"/>
      <c r="Q174" s="364"/>
      <c r="R174" s="128"/>
      <c r="S174" s="128"/>
      <c r="T174" s="128"/>
    </row>
    <row r="175" spans="1:20" ht="14.1" customHeight="1" x14ac:dyDescent="0.2">
      <c r="A175" s="120">
        <v>19</v>
      </c>
      <c r="B175" s="276"/>
      <c r="C175" s="137"/>
      <c r="E175" s="116" t="s">
        <v>379</v>
      </c>
      <c r="G175" s="137"/>
      <c r="H175" s="128"/>
      <c r="I175" s="288"/>
      <c r="J175" s="128"/>
      <c r="K175" s="128"/>
      <c r="L175" s="128"/>
      <c r="M175" s="128"/>
      <c r="N175" s="288"/>
      <c r="O175" s="128"/>
      <c r="Q175" s="364"/>
      <c r="R175" s="128"/>
      <c r="S175" s="128"/>
      <c r="T175" s="128"/>
    </row>
    <row r="176" spans="1:20" ht="14.1" customHeight="1" x14ac:dyDescent="0.2">
      <c r="A176" s="120">
        <v>20</v>
      </c>
      <c r="B176" s="276"/>
      <c r="C176" s="137"/>
      <c r="F176" s="147" t="s">
        <v>1442</v>
      </c>
      <c r="G176" s="137"/>
      <c r="H176" s="128"/>
      <c r="I176" s="288">
        <f>'2027 GSD Rate Class E-13c'!K43</f>
        <v>20.785255033525459</v>
      </c>
      <c r="J176" s="128" t="s">
        <v>1355</v>
      </c>
      <c r="K176" s="128"/>
      <c r="L176" s="128"/>
      <c r="M176" s="128"/>
      <c r="N176" s="288">
        <f>'2027 GSD Rate Class E-13c'!R43</f>
        <v>21.622048984035398</v>
      </c>
      <c r="O176" s="128" t="s">
        <v>1355</v>
      </c>
      <c r="Q176" s="125">
        <f>IF(I176=0,0,+(N176-I176)/I176)</f>
        <v>4.0259017710402745E-2</v>
      </c>
    </row>
    <row r="177" spans="1:20" ht="14.1" customHeight="1" x14ac:dyDescent="0.2">
      <c r="A177" s="120">
        <v>21</v>
      </c>
      <c r="B177" s="276"/>
      <c r="C177" s="137"/>
      <c r="F177" s="113" t="s">
        <v>1443</v>
      </c>
      <c r="H177" s="128"/>
      <c r="I177" s="288">
        <f>'2027 GSD Rate Class E-13c'!K138</f>
        <v>0</v>
      </c>
      <c r="J177" s="128" t="s">
        <v>1355</v>
      </c>
      <c r="K177" s="128"/>
      <c r="L177" s="128"/>
      <c r="M177" s="128"/>
      <c r="N177" s="288">
        <f>'2027 GSD Rate Class E-13c'!R138</f>
        <v>0</v>
      </c>
      <c r="O177" s="128" t="s">
        <v>1355</v>
      </c>
      <c r="Q177" s="365">
        <f>IF(I177=0,0,+(N177-I177)/I177)</f>
        <v>0</v>
      </c>
      <c r="R177" s="128"/>
      <c r="S177" s="128"/>
      <c r="T177" s="128"/>
    </row>
    <row r="178" spans="1:20" ht="14.1" customHeight="1" x14ac:dyDescent="0.2">
      <c r="A178" s="120">
        <v>22</v>
      </c>
      <c r="B178" s="276"/>
      <c r="C178" s="137"/>
      <c r="F178" s="113" t="s">
        <v>1444</v>
      </c>
      <c r="H178" s="128"/>
      <c r="I178" s="288">
        <f>'2027 GSD Rate Class E-13c'!K46</f>
        <v>5.3392890337040271</v>
      </c>
      <c r="J178" s="128" t="s">
        <v>1355</v>
      </c>
      <c r="K178" s="128"/>
      <c r="L178" s="128"/>
      <c r="M178" s="128"/>
      <c r="N178" s="288">
        <f>'2027 GSD Rate Class E-13c'!R46</f>
        <v>5.554243565472877</v>
      </c>
      <c r="O178" s="128" t="s">
        <v>1355</v>
      </c>
      <c r="Q178" s="125">
        <f>IF(I178=0,0,+(N178-I178)/I178)</f>
        <v>4.0259017710402807E-2</v>
      </c>
      <c r="R178" s="128"/>
      <c r="S178" s="128"/>
      <c r="T178" s="128"/>
    </row>
    <row r="179" spans="1:20" ht="14.1" customHeight="1" x14ac:dyDescent="0.2">
      <c r="A179" s="120">
        <v>23</v>
      </c>
      <c r="B179" s="276"/>
      <c r="C179" s="137"/>
      <c r="F179" s="113" t="s">
        <v>1445</v>
      </c>
      <c r="G179" s="137"/>
      <c r="H179" s="128"/>
      <c r="I179" s="288">
        <f>'2027 GSD Rate Class E-13c'!K49</f>
        <v>15.445965999821432</v>
      </c>
      <c r="J179" s="128" t="s">
        <v>1355</v>
      </c>
      <c r="K179" s="128"/>
      <c r="L179" s="128"/>
      <c r="M179" s="128"/>
      <c r="N179" s="288">
        <f>'2027 GSD Rate Class E-13c'!R49</f>
        <v>16.067805418562521</v>
      </c>
      <c r="O179" s="128" t="s">
        <v>1355</v>
      </c>
      <c r="Q179" s="125">
        <f>IF(I179=0,0,+(N179-I179)/I179)</f>
        <v>4.0259017710402724E-2</v>
      </c>
      <c r="R179" s="128"/>
      <c r="S179" s="128"/>
      <c r="T179" s="128"/>
    </row>
    <row r="180" spans="1:20" ht="14.1" customHeight="1" x14ac:dyDescent="0.2">
      <c r="A180" s="120">
        <v>24</v>
      </c>
      <c r="B180" s="276"/>
      <c r="C180" s="137"/>
      <c r="F180" s="124"/>
      <c r="H180" s="128"/>
      <c r="I180" s="288"/>
      <c r="J180" s="128"/>
      <c r="K180" s="128"/>
      <c r="L180" s="128"/>
      <c r="M180" s="128"/>
      <c r="N180" s="288"/>
      <c r="O180" s="128"/>
      <c r="Q180" s="364"/>
      <c r="R180" s="128"/>
      <c r="S180" s="128"/>
      <c r="T180" s="128"/>
    </row>
    <row r="181" spans="1:20" ht="14.1" customHeight="1" x14ac:dyDescent="0.2">
      <c r="A181" s="120">
        <v>25</v>
      </c>
      <c r="B181" s="276"/>
      <c r="C181" s="137"/>
      <c r="E181" s="342" t="s">
        <v>733</v>
      </c>
      <c r="G181" s="124"/>
      <c r="H181" s="128"/>
      <c r="I181" s="288"/>
      <c r="J181" s="128"/>
      <c r="K181" s="128"/>
      <c r="L181" s="128"/>
      <c r="M181" s="128"/>
      <c r="N181" s="288"/>
      <c r="O181" s="128"/>
      <c r="Q181" s="364"/>
      <c r="R181" s="128"/>
      <c r="S181" s="128"/>
      <c r="T181" s="128"/>
    </row>
    <row r="182" spans="1:20" ht="14.1" customHeight="1" x14ac:dyDescent="0.2">
      <c r="A182" s="120">
        <v>26</v>
      </c>
      <c r="B182" s="276"/>
      <c r="C182" s="137"/>
      <c r="F182" s="124" t="s">
        <v>745</v>
      </c>
      <c r="H182" s="128"/>
      <c r="I182" s="288">
        <f>'2027 GSD Rate Class E-13c'!K74</f>
        <v>-0.57207970764000005</v>
      </c>
      <c r="J182" s="128" t="s">
        <v>1355</v>
      </c>
      <c r="K182" s="128"/>
      <c r="L182" s="128"/>
      <c r="M182" s="128"/>
      <c r="N182" s="288">
        <f>'2027 GSD Rate Class E-13c'!R74</f>
        <v>-0.59511107472164082</v>
      </c>
      <c r="O182" s="128" t="s">
        <v>1355</v>
      </c>
      <c r="Q182" s="125">
        <f t="shared" ref="Q182:Q187" si="16">IF(I182=0,0,+(N182-I182)/I182)</f>
        <v>4.0259017710402724E-2</v>
      </c>
      <c r="R182" s="128"/>
      <c r="S182" s="128"/>
      <c r="T182" s="128"/>
    </row>
    <row r="183" spans="1:20" ht="14.1" customHeight="1" x14ac:dyDescent="0.2">
      <c r="A183" s="120">
        <v>27</v>
      </c>
      <c r="B183" s="276"/>
      <c r="C183" s="137"/>
      <c r="F183" s="124" t="s">
        <v>768</v>
      </c>
      <c r="H183" s="128"/>
      <c r="I183" s="288">
        <f>'2027 GSD Rate Class E-13c'!K75</f>
        <v>-3.27356721594</v>
      </c>
      <c r="J183" s="128" t="s">
        <v>1355</v>
      </c>
      <c r="K183" s="128"/>
      <c r="L183" s="128"/>
      <c r="M183" s="128"/>
      <c r="N183" s="288">
        <f>'2027 GSD Rate Class E-13c'!R75</f>
        <v>-3.4053578164627223</v>
      </c>
      <c r="O183" s="128" t="s">
        <v>1355</v>
      </c>
      <c r="Q183" s="125">
        <f t="shared" si="16"/>
        <v>4.0259017710402752E-2</v>
      </c>
      <c r="R183" s="128"/>
      <c r="S183" s="128"/>
      <c r="T183" s="128"/>
    </row>
    <row r="184" spans="1:20" ht="14.1" customHeight="1" x14ac:dyDescent="0.2">
      <c r="A184" s="120">
        <v>28</v>
      </c>
      <c r="B184" s="276"/>
      <c r="C184" s="137"/>
      <c r="F184" s="124" t="s">
        <v>1446</v>
      </c>
      <c r="G184" s="128"/>
      <c r="H184" s="128"/>
      <c r="I184" s="338">
        <f>'2027 GSD Rate Class E-13c'!K144</f>
        <v>-1.4645378432755589E-3</v>
      </c>
      <c r="J184" s="334" t="s">
        <v>1418</v>
      </c>
      <c r="K184" s="128"/>
      <c r="L184" s="128"/>
      <c r="M184" s="128"/>
      <c r="N184" s="338">
        <f>'2027 GSD Rate Class E-13c'!R144</f>
        <v>-1.5234986982455446E-3</v>
      </c>
      <c r="O184" s="334" t="s">
        <v>1418</v>
      </c>
      <c r="Q184" s="125">
        <f t="shared" si="16"/>
        <v>4.0259017710402696E-2</v>
      </c>
      <c r="R184" s="128"/>
      <c r="S184" s="128"/>
      <c r="T184" s="128"/>
    </row>
    <row r="185" spans="1:20" ht="14.1" customHeight="1" x14ac:dyDescent="0.2">
      <c r="A185" s="120">
        <v>29</v>
      </c>
      <c r="B185" s="276"/>
      <c r="C185" s="137"/>
      <c r="F185" s="124" t="s">
        <v>1447</v>
      </c>
      <c r="G185" s="128"/>
      <c r="H185" s="128"/>
      <c r="I185" s="338">
        <f>'2027 GSD Rate Class E-13c'!K145</f>
        <v>-8.3846978775049992E-3</v>
      </c>
      <c r="J185" s="334" t="s">
        <v>1418</v>
      </c>
      <c r="K185" s="128"/>
      <c r="L185" s="128"/>
      <c r="M185" s="128"/>
      <c r="N185" s="338">
        <f>'2027 GSD Rate Class E-13c'!R145</f>
        <v>-8.7222575778518486E-3</v>
      </c>
      <c r="O185" s="334" t="s">
        <v>1418</v>
      </c>
      <c r="Q185" s="125">
        <f t="shared" si="16"/>
        <v>4.0259017710402661E-2</v>
      </c>
      <c r="R185" s="128"/>
      <c r="S185" s="128"/>
      <c r="T185" s="128"/>
    </row>
    <row r="186" spans="1:20" ht="14.1" customHeight="1" x14ac:dyDescent="0.2">
      <c r="A186" s="120">
        <v>30</v>
      </c>
      <c r="B186" s="276"/>
      <c r="C186" s="137"/>
      <c r="F186" s="113" t="s">
        <v>1436</v>
      </c>
      <c r="G186" s="124"/>
      <c r="H186" s="128"/>
      <c r="I186" s="288">
        <f>'2027 GSD Rate Class E-13c'!K76</f>
        <v>-0.57207970764000005</v>
      </c>
      <c r="J186" s="128" t="s">
        <v>1355</v>
      </c>
      <c r="K186" s="128"/>
      <c r="L186" s="128"/>
      <c r="M186" s="128"/>
      <c r="N186" s="288">
        <f>'2027 GSD Rate Class E-13c'!R76</f>
        <v>-0.59511107472164082</v>
      </c>
      <c r="O186" s="128" t="s">
        <v>1355</v>
      </c>
      <c r="Q186" s="125">
        <f t="shared" si="16"/>
        <v>4.0259017710402724E-2</v>
      </c>
      <c r="R186" s="128"/>
      <c r="S186" s="128"/>
      <c r="T186" s="128"/>
    </row>
    <row r="187" spans="1:20" ht="14.1" customHeight="1" x14ac:dyDescent="0.2">
      <c r="A187" s="120">
        <v>31</v>
      </c>
      <c r="B187" s="276"/>
      <c r="C187" s="137"/>
      <c r="F187" s="113" t="s">
        <v>1437</v>
      </c>
      <c r="G187" s="128"/>
      <c r="H187" s="128"/>
      <c r="I187" s="288">
        <f>'2027 GSD Rate Class E-13c'!K77</f>
        <v>-3.27356721594</v>
      </c>
      <c r="J187" s="128" t="s">
        <v>1355</v>
      </c>
      <c r="K187" s="128"/>
      <c r="L187" s="128"/>
      <c r="M187" s="128"/>
      <c r="N187" s="288">
        <f>'2027 GSD Rate Class E-13c'!R77</f>
        <v>-3.4053578164627223</v>
      </c>
      <c r="O187" s="128" t="s">
        <v>1355</v>
      </c>
      <c r="Q187" s="125">
        <f t="shared" si="16"/>
        <v>4.0259017710402752E-2</v>
      </c>
      <c r="R187" s="128"/>
      <c r="S187" s="128"/>
      <c r="T187" s="128"/>
    </row>
    <row r="188" spans="1:20" ht="14.1" customHeight="1" x14ac:dyDescent="0.2">
      <c r="A188" s="120">
        <v>32</v>
      </c>
      <c r="B188" s="276"/>
      <c r="C188" s="137"/>
      <c r="Q188" s="141"/>
      <c r="R188" s="128"/>
      <c r="S188" s="128"/>
      <c r="T188" s="128"/>
    </row>
    <row r="189" spans="1:20" ht="14.1" customHeight="1" x14ac:dyDescent="0.2">
      <c r="A189" s="120">
        <v>33</v>
      </c>
      <c r="B189" s="276"/>
      <c r="C189" s="137"/>
      <c r="E189" s="323" t="s">
        <v>1448</v>
      </c>
      <c r="G189" s="128"/>
      <c r="H189" s="128"/>
      <c r="Q189" s="141"/>
      <c r="R189" s="128"/>
      <c r="S189" s="128"/>
      <c r="T189" s="128"/>
    </row>
    <row r="190" spans="1:20" ht="14.1" customHeight="1" x14ac:dyDescent="0.2">
      <c r="A190" s="120">
        <v>34</v>
      </c>
      <c r="B190" s="276"/>
      <c r="C190" s="137"/>
      <c r="F190" s="147" t="s">
        <v>1442</v>
      </c>
      <c r="G190" s="128"/>
      <c r="H190" s="128"/>
      <c r="I190" s="288">
        <f>'2027 GSD Rate Class E-13c'!K82</f>
        <v>1.08059500332</v>
      </c>
      <c r="J190" s="128" t="s">
        <v>1355</v>
      </c>
      <c r="K190" s="128"/>
      <c r="L190" s="128"/>
      <c r="M190" s="128"/>
      <c r="N190" s="288">
        <f>'2027 GSD Rate Class E-13c'!R82</f>
        <v>1.1240986966964326</v>
      </c>
      <c r="O190" s="128" t="s">
        <v>1355</v>
      </c>
      <c r="Q190" s="125">
        <f>IF(I190=0,0,+(N190-I190)/I190)</f>
        <v>4.0259017710402717E-2</v>
      </c>
      <c r="R190" s="128"/>
      <c r="S190" s="128"/>
      <c r="T190" s="128"/>
    </row>
    <row r="191" spans="1:20" ht="14.1" customHeight="1" x14ac:dyDescent="0.2">
      <c r="A191" s="120">
        <v>35</v>
      </c>
      <c r="B191" s="276"/>
      <c r="C191" s="137"/>
      <c r="F191" s="113" t="s">
        <v>1443</v>
      </c>
      <c r="I191" s="338">
        <f>'2027 GSD Rate Class E-13c'!K150</f>
        <v>2.7226756456199997E-3</v>
      </c>
      <c r="J191" s="334" t="s">
        <v>1418</v>
      </c>
      <c r="K191" s="128"/>
      <c r="N191" s="338">
        <f>'2027 GSD Rate Class E-13c'!R150</f>
        <v>2.8322878926566974E-3</v>
      </c>
      <c r="O191" s="128" t="s">
        <v>1358</v>
      </c>
      <c r="Q191" s="125">
        <f>IF(I191=0,0,+(N191-I191)/I191)</f>
        <v>4.0259017710402738E-2</v>
      </c>
      <c r="R191" s="128"/>
      <c r="S191" s="128"/>
      <c r="T191" s="128"/>
    </row>
    <row r="192" spans="1:20" ht="14.1" customHeight="1" thickBot="1" x14ac:dyDescent="0.25">
      <c r="A192" s="118">
        <v>36</v>
      </c>
      <c r="B192" s="343"/>
      <c r="C192" s="344"/>
      <c r="D192" s="114"/>
      <c r="E192" s="114"/>
      <c r="F192" s="114" t="s">
        <v>1444</v>
      </c>
      <c r="G192" s="114"/>
      <c r="H192" s="114"/>
      <c r="I192" s="345">
        <f>'2027 GSD Rate Class E-13c'!K85</f>
        <v>1.08059500332</v>
      </c>
      <c r="J192" s="346" t="s">
        <v>1355</v>
      </c>
      <c r="K192" s="346"/>
      <c r="L192" s="114"/>
      <c r="M192" s="114"/>
      <c r="N192" s="345">
        <f>'2027 GSD Rate Class E-13c'!R85</f>
        <v>1.1240986966964326</v>
      </c>
      <c r="O192" s="346" t="s">
        <v>1355</v>
      </c>
      <c r="P192" s="114"/>
      <c r="Q192" s="366">
        <f>IF(I192=0,0,+(N192-I192)/I192)</f>
        <v>4.0259017710402717E-2</v>
      </c>
      <c r="R192" s="346"/>
      <c r="S192" s="346"/>
      <c r="T192" s="347" t="s">
        <v>924</v>
      </c>
    </row>
    <row r="193" spans="1:20" ht="14.1" customHeight="1" x14ac:dyDescent="0.2">
      <c r="A193" s="113" t="str">
        <f>+$A$49</f>
        <v>Supporting Schedules:  E-7, E-14 Supplement</v>
      </c>
      <c r="R193" s="113" t="s">
        <v>1369</v>
      </c>
    </row>
    <row r="194" spans="1:20" ht="14.1" customHeight="1" thickBot="1" x14ac:dyDescent="0.25">
      <c r="A194" s="114" t="str">
        <f>+$A$2</f>
        <v>SCHEDULE A-3</v>
      </c>
      <c r="B194" s="114"/>
      <c r="C194" s="114"/>
      <c r="D194" s="114"/>
      <c r="E194" s="114"/>
      <c r="F194" s="114"/>
      <c r="G194" s="114"/>
      <c r="H194" s="114"/>
      <c r="I194" s="114" t="str">
        <f>+$I$2</f>
        <v>SUMMARY OF TARIFFS</v>
      </c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263" t="s">
        <v>1449</v>
      </c>
    </row>
    <row r="195" spans="1:20" ht="14.1" customHeight="1" x14ac:dyDescent="0.2">
      <c r="A195" s="113" t="s">
        <v>307</v>
      </c>
      <c r="F195" s="117" t="s">
        <v>1405</v>
      </c>
      <c r="G195" s="113" t="s">
        <v>1406</v>
      </c>
      <c r="L195" s="115"/>
      <c r="M195" s="115"/>
      <c r="O195" s="115"/>
      <c r="P195" s="115"/>
      <c r="Q195" s="115" t="s">
        <v>845</v>
      </c>
      <c r="T195" s="116"/>
    </row>
    <row r="196" spans="1:20" ht="14.1" customHeight="1" x14ac:dyDescent="0.2">
      <c r="G196" s="113" t="s">
        <v>1407</v>
      </c>
      <c r="L196" s="117"/>
      <c r="M196" s="116"/>
      <c r="P196" s="117"/>
      <c r="Q196" s="11" t="s">
        <v>916</v>
      </c>
      <c r="R196" s="10" t="s">
        <v>1512</v>
      </c>
      <c r="T196" s="117"/>
    </row>
    <row r="197" spans="1:20" ht="14.1" customHeight="1" x14ac:dyDescent="0.2">
      <c r="A197" s="113" t="s">
        <v>310</v>
      </c>
      <c r="L197" s="117"/>
      <c r="M197" s="116"/>
      <c r="N197" s="117"/>
      <c r="Q197" s="11"/>
      <c r="R197" s="10"/>
      <c r="T197" s="117"/>
    </row>
    <row r="198" spans="1:20" ht="14.1" customHeight="1" x14ac:dyDescent="0.2">
      <c r="L198" s="117"/>
      <c r="M198" s="116"/>
      <c r="N198" s="117"/>
      <c r="Q198" s="11"/>
      <c r="R198" s="10"/>
      <c r="T198" s="117"/>
    </row>
    <row r="199" spans="1:20" ht="14.1" customHeight="1" thickBot="1" x14ac:dyDescent="0.25">
      <c r="A199" s="114" t="s">
        <v>1522</v>
      </c>
      <c r="B199" s="114"/>
      <c r="C199" s="114"/>
      <c r="D199" s="114"/>
      <c r="E199" s="114"/>
      <c r="F199" s="114"/>
      <c r="G199" s="114"/>
      <c r="H199" s="114"/>
      <c r="I199" s="118"/>
      <c r="J199" s="114"/>
      <c r="K199" s="114"/>
      <c r="L199" s="114"/>
      <c r="M199" s="114"/>
      <c r="N199" s="114"/>
      <c r="O199" s="114"/>
      <c r="P199" s="114"/>
      <c r="Q199" s="114"/>
      <c r="R199" s="114" t="s">
        <v>1519</v>
      </c>
      <c r="S199" s="114"/>
      <c r="T199" s="114"/>
    </row>
    <row r="200" spans="1:20" ht="14.1" customHeight="1" x14ac:dyDescent="0.2">
      <c r="A200" s="113" t="str">
        <f>IF(+A$8="","",A$8)</f>
        <v/>
      </c>
      <c r="B200" s="120" t="str">
        <f t="shared" ref="B200:T200" si="17">IF(+B$8="","",B$8)</f>
        <v/>
      </c>
      <c r="C200" s="120" t="str">
        <f t="shared" si="17"/>
        <v>(1)</v>
      </c>
      <c r="D200" s="120" t="str">
        <f t="shared" si="17"/>
        <v/>
      </c>
      <c r="E200" s="120" t="str">
        <f t="shared" si="17"/>
        <v/>
      </c>
      <c r="F200" s="120" t="str">
        <f t="shared" si="17"/>
        <v>(2)</v>
      </c>
      <c r="G200" s="120" t="str">
        <f t="shared" si="17"/>
        <v/>
      </c>
      <c r="H200" s="120" t="str">
        <f>IF(+H$8="","",H$8)</f>
        <v/>
      </c>
      <c r="I200" s="120" t="str">
        <f>IF(+I$8="","",I$8)</f>
        <v>(3)</v>
      </c>
      <c r="J200" s="120" t="str">
        <f>IF(+J$8="","",J$8)</f>
        <v/>
      </c>
      <c r="K200" s="120"/>
      <c r="L200" s="120" t="str">
        <f t="shared" si="17"/>
        <v>(4)</v>
      </c>
      <c r="M200" s="120" t="str">
        <f t="shared" si="17"/>
        <v/>
      </c>
      <c r="N200" s="120" t="str">
        <f t="shared" si="17"/>
        <v>(5)</v>
      </c>
      <c r="O200" s="120" t="str">
        <f t="shared" si="17"/>
        <v/>
      </c>
      <c r="Q200" s="120" t="str">
        <f>IF(+Q$8="","",Q$8)</f>
        <v>(6)</v>
      </c>
      <c r="R200" s="120" t="str">
        <f t="shared" si="17"/>
        <v/>
      </c>
      <c r="S200" s="120" t="str">
        <f t="shared" si="17"/>
        <v/>
      </c>
      <c r="T200" s="120" t="str">
        <f t="shared" si="17"/>
        <v/>
      </c>
    </row>
    <row r="201" spans="1:20" ht="14.1" customHeight="1" x14ac:dyDescent="0.2">
      <c r="A201" s="113" t="str">
        <f>IF(+A$9="","",A$9)</f>
        <v/>
      </c>
      <c r="B201" s="120" t="str">
        <f t="shared" ref="B201:T201" si="18">IF(+B$9="","",B$9)</f>
        <v/>
      </c>
      <c r="C201" s="120" t="str">
        <f t="shared" si="18"/>
        <v/>
      </c>
      <c r="D201" s="120" t="str">
        <f t="shared" si="18"/>
        <v/>
      </c>
      <c r="E201" s="120" t="str">
        <f t="shared" si="18"/>
        <v/>
      </c>
      <c r="F201" s="120" t="str">
        <f t="shared" si="18"/>
        <v/>
      </c>
      <c r="G201" s="120" t="str">
        <f t="shared" si="18"/>
        <v/>
      </c>
      <c r="H201" s="120" t="str">
        <f>IF(+H$9="","",H$9)</f>
        <v/>
      </c>
      <c r="I201" s="120" t="str">
        <f>IF(+I$9="","",I$9)</f>
        <v/>
      </c>
      <c r="J201" s="120" t="str">
        <f>IF(+J$9="","",J$9)</f>
        <v/>
      </c>
      <c r="K201" s="120"/>
      <c r="L201" s="120" t="str">
        <f t="shared" si="18"/>
        <v/>
      </c>
      <c r="M201" s="120" t="str">
        <f t="shared" si="18"/>
        <v/>
      </c>
      <c r="N201" s="120" t="str">
        <f t="shared" si="18"/>
        <v/>
      </c>
      <c r="O201" s="120" t="str">
        <f t="shared" si="18"/>
        <v/>
      </c>
      <c r="Q201" s="120" t="str">
        <f>IF(+Q$9="","",Q$9)</f>
        <v/>
      </c>
      <c r="R201" s="120" t="str">
        <f t="shared" si="18"/>
        <v/>
      </c>
      <c r="S201" s="120" t="str">
        <f t="shared" si="18"/>
        <v/>
      </c>
      <c r="T201" s="120" t="str">
        <f t="shared" si="18"/>
        <v/>
      </c>
    </row>
    <row r="202" spans="1:20" ht="14.1" customHeight="1" x14ac:dyDescent="0.2">
      <c r="A202" s="113" t="str">
        <f>IF(+A$10="","",A$10)</f>
        <v/>
      </c>
      <c r="B202" s="120" t="str">
        <f t="shared" ref="B202:T202" si="19">IF(+B$10="","",B$10)</f>
        <v/>
      </c>
      <c r="C202" s="120" t="str">
        <f t="shared" si="19"/>
        <v xml:space="preserve">Current </v>
      </c>
      <c r="D202" s="120" t="str">
        <f t="shared" si="19"/>
        <v/>
      </c>
      <c r="E202" s="120" t="str">
        <f t="shared" si="19"/>
        <v/>
      </c>
      <c r="F202" s="120" t="str">
        <f t="shared" si="19"/>
        <v/>
      </c>
      <c r="G202" s="120" t="str">
        <f t="shared" si="19"/>
        <v/>
      </c>
      <c r="H202" s="120" t="str">
        <f>IF(+H$10="","",H$10)</f>
        <v/>
      </c>
      <c r="I202" s="120" t="str">
        <f>IF(+I$10="","",I$10)</f>
        <v/>
      </c>
      <c r="J202" s="120" t="str">
        <f>IF(+J$10="","",J$10)</f>
        <v/>
      </c>
      <c r="K202" s="120"/>
      <c r="L202" s="120" t="str">
        <f t="shared" si="19"/>
        <v>Proposed</v>
      </c>
      <c r="M202" s="120" t="str">
        <f t="shared" si="19"/>
        <v/>
      </c>
      <c r="N202" s="120" t="str">
        <f t="shared" si="19"/>
        <v/>
      </c>
      <c r="O202" s="120" t="str">
        <f t="shared" si="19"/>
        <v/>
      </c>
      <c r="Q202" s="120" t="str">
        <f>IF(+Q$10="","",Q$10)</f>
        <v>Percent</v>
      </c>
      <c r="R202" s="120" t="str">
        <f t="shared" si="19"/>
        <v/>
      </c>
      <c r="S202" s="120" t="str">
        <f t="shared" si="19"/>
        <v/>
      </c>
      <c r="T202" s="120" t="str">
        <f t="shared" si="19"/>
        <v/>
      </c>
    </row>
    <row r="203" spans="1:20" ht="14.1" customHeight="1" x14ac:dyDescent="0.2">
      <c r="A203" s="120" t="str">
        <f>IF(+A$11="","",A$11)</f>
        <v>Line</v>
      </c>
      <c r="B203" s="120" t="str">
        <f t="shared" ref="B203:T203" si="20">IF(+B$11="","",B$11)</f>
        <v/>
      </c>
      <c r="C203" s="120" t="str">
        <f t="shared" si="20"/>
        <v>Rate</v>
      </c>
      <c r="D203" s="120" t="str">
        <f t="shared" si="20"/>
        <v/>
      </c>
      <c r="E203" s="120" t="str">
        <f t="shared" si="20"/>
        <v/>
      </c>
      <c r="F203" s="120" t="str">
        <f t="shared" si="20"/>
        <v/>
      </c>
      <c r="G203" s="120" t="str">
        <f t="shared" si="20"/>
        <v/>
      </c>
      <c r="H203" s="120" t="str">
        <f>IF(+H$11="","",H$11)</f>
        <v/>
      </c>
      <c r="I203" s="120" t="str">
        <f>IF(+I$11="","",I$11)</f>
        <v>Current</v>
      </c>
      <c r="J203" s="120" t="str">
        <f>IF(+J$11="","",J$11)</f>
        <v/>
      </c>
      <c r="K203" s="120"/>
      <c r="L203" s="120" t="str">
        <f t="shared" si="20"/>
        <v>Rate</v>
      </c>
      <c r="M203" s="120" t="str">
        <f t="shared" si="20"/>
        <v/>
      </c>
      <c r="N203" s="120" t="str">
        <f t="shared" si="20"/>
        <v>Proposed</v>
      </c>
      <c r="O203" s="120" t="str">
        <f t="shared" si="20"/>
        <v/>
      </c>
      <c r="Q203" s="120" t="str">
        <f>IF(+Q$11="","",Q$11)</f>
        <v>Increase</v>
      </c>
      <c r="R203" s="120" t="str">
        <f t="shared" si="20"/>
        <v/>
      </c>
      <c r="S203" s="120" t="str">
        <f t="shared" si="20"/>
        <v/>
      </c>
      <c r="T203" s="120" t="str">
        <f t="shared" si="20"/>
        <v/>
      </c>
    </row>
    <row r="204" spans="1:20" ht="14.1" customHeight="1" thickBot="1" x14ac:dyDescent="0.25">
      <c r="A204" s="118" t="str">
        <f>IF(+A$12="","",A$12)</f>
        <v>No.</v>
      </c>
      <c r="B204" s="118" t="str">
        <f t="shared" ref="B204:T204" si="21">IF(+B$12="","",B$12)</f>
        <v/>
      </c>
      <c r="C204" s="118" t="str">
        <f t="shared" si="21"/>
        <v>Schedule</v>
      </c>
      <c r="D204" s="118" t="str">
        <f t="shared" si="21"/>
        <v/>
      </c>
      <c r="E204" s="118"/>
      <c r="F204" s="118" t="str">
        <f t="shared" si="21"/>
        <v>Type of Charge</v>
      </c>
      <c r="G204" s="118"/>
      <c r="H204" s="118" t="str">
        <f>IF(+H$12="","",H$12)</f>
        <v/>
      </c>
      <c r="I204" s="118" t="str">
        <f>IF(+I$12="","",I$12)</f>
        <v>Rate</v>
      </c>
      <c r="J204" s="118" t="str">
        <f>IF(+J$12="","",J$12)</f>
        <v/>
      </c>
      <c r="K204" s="118"/>
      <c r="L204" s="118" t="str">
        <f t="shared" si="21"/>
        <v>Schedule</v>
      </c>
      <c r="M204" s="118" t="str">
        <f t="shared" si="21"/>
        <v/>
      </c>
      <c r="N204" s="118" t="str">
        <f t="shared" si="21"/>
        <v>Rate</v>
      </c>
      <c r="O204" s="118" t="str">
        <f t="shared" si="21"/>
        <v/>
      </c>
      <c r="P204" s="114"/>
      <c r="Q204" s="118" t="str">
        <f>IF(+Q$12="","",Q$12)</f>
        <v>((5)-(3))/(3)</v>
      </c>
      <c r="R204" s="118" t="str">
        <f t="shared" si="21"/>
        <v/>
      </c>
      <c r="S204" s="118" t="str">
        <f t="shared" si="21"/>
        <v/>
      </c>
      <c r="T204" s="118" t="str">
        <f t="shared" si="21"/>
        <v/>
      </c>
    </row>
    <row r="205" spans="1:20" ht="14.1" customHeight="1" x14ac:dyDescent="0.2">
      <c r="A205" s="120">
        <v>1</v>
      </c>
      <c r="B205" s="129" t="s">
        <v>925</v>
      </c>
      <c r="C205" s="129"/>
      <c r="D205" s="137"/>
      <c r="E205" s="342"/>
      <c r="G205" s="124"/>
      <c r="H205" s="137"/>
      <c r="J205" s="137"/>
      <c r="K205" s="137"/>
      <c r="M205" s="137"/>
      <c r="N205" s="137"/>
      <c r="O205" s="137"/>
      <c r="Q205" s="137"/>
      <c r="R205" s="137"/>
      <c r="S205" s="137"/>
      <c r="T205" s="137"/>
    </row>
    <row r="206" spans="1:20" ht="14.1" customHeight="1" x14ac:dyDescent="0.2">
      <c r="A206" s="120">
        <v>2</v>
      </c>
      <c r="B206" s="293"/>
      <c r="C206" s="305" t="s">
        <v>1431</v>
      </c>
      <c r="D206" s="137"/>
      <c r="E206" s="342"/>
      <c r="G206" s="124"/>
      <c r="H206" s="137"/>
      <c r="J206" s="137"/>
      <c r="K206" s="137"/>
      <c r="L206" s="305" t="s">
        <v>1431</v>
      </c>
      <c r="M206" s="137"/>
      <c r="N206" s="137"/>
      <c r="O206" s="137"/>
      <c r="Q206" s="137"/>
      <c r="R206" s="137"/>
      <c r="S206" s="137"/>
      <c r="T206" s="137"/>
    </row>
    <row r="207" spans="1:20" ht="14.1" customHeight="1" x14ac:dyDescent="0.2">
      <c r="A207" s="120">
        <v>3</v>
      </c>
      <c r="B207" s="293"/>
      <c r="C207" s="305"/>
      <c r="D207" s="137"/>
      <c r="E207" s="342" t="s">
        <v>811</v>
      </c>
      <c r="H207" s="128"/>
      <c r="I207" s="288"/>
      <c r="J207" s="128"/>
      <c r="K207" s="128"/>
      <c r="L207" s="128"/>
      <c r="M207" s="128"/>
      <c r="N207" s="288"/>
      <c r="O207" s="128"/>
      <c r="Q207" s="128"/>
      <c r="R207" s="137"/>
      <c r="S207" s="137"/>
      <c r="T207" s="137"/>
    </row>
    <row r="208" spans="1:20" ht="14.1" customHeight="1" x14ac:dyDescent="0.2">
      <c r="A208" s="120">
        <v>4</v>
      </c>
      <c r="B208" s="293"/>
      <c r="C208" s="293"/>
      <c r="D208" s="137"/>
      <c r="F208" s="124" t="s">
        <v>745</v>
      </c>
      <c r="G208" s="137"/>
      <c r="H208" s="128"/>
      <c r="I208" s="282">
        <f>+'2027 GSD Rate Class E-13c'!K92*100</f>
        <v>-1</v>
      </c>
      <c r="J208" s="128" t="s">
        <v>1450</v>
      </c>
      <c r="K208" s="128"/>
      <c r="L208" s="128"/>
      <c r="M208" s="128"/>
      <c r="N208" s="282">
        <f>+'2027 GSD Rate Class E-13c'!R92*100</f>
        <v>-1</v>
      </c>
      <c r="O208" s="128" t="s">
        <v>1450</v>
      </c>
      <c r="Q208" s="125">
        <f t="shared" ref="Q208:Q213" si="22">IF(I208=0,0,+(N208-I208)/I208)</f>
        <v>0</v>
      </c>
      <c r="R208" s="137"/>
      <c r="S208" s="137"/>
      <c r="T208" s="137"/>
    </row>
    <row r="209" spans="1:20" ht="14.1" customHeight="1" x14ac:dyDescent="0.2">
      <c r="A209" s="120">
        <v>5</v>
      </c>
      <c r="B209" s="293"/>
      <c r="C209" s="293"/>
      <c r="D209" s="137"/>
      <c r="F209" s="124" t="s">
        <v>768</v>
      </c>
      <c r="G209" s="137"/>
      <c r="H209" s="128"/>
      <c r="I209" s="282">
        <f>+'2027 GSD Rate Class E-13c'!K93*100</f>
        <v>-2</v>
      </c>
      <c r="J209" s="128" t="s">
        <v>1450</v>
      </c>
      <c r="K209" s="128"/>
      <c r="L209" s="128"/>
      <c r="M209" s="128"/>
      <c r="N209" s="282">
        <f>+'2027 GSD Rate Class E-13c'!R93*100</f>
        <v>-2</v>
      </c>
      <c r="O209" s="128" t="s">
        <v>1450</v>
      </c>
      <c r="Q209" s="125">
        <f t="shared" si="22"/>
        <v>0</v>
      </c>
      <c r="R209" s="137"/>
      <c r="S209" s="137"/>
      <c r="T209" s="137"/>
    </row>
    <row r="210" spans="1:20" ht="14.1" customHeight="1" x14ac:dyDescent="0.2">
      <c r="A210" s="120">
        <v>6</v>
      </c>
      <c r="B210" s="293"/>
      <c r="C210" s="293"/>
      <c r="D210" s="137"/>
      <c r="F210" s="124" t="s">
        <v>1446</v>
      </c>
      <c r="G210" s="137"/>
      <c r="H210" s="128"/>
      <c r="I210" s="282">
        <f>+'2027 GSD Rate Class E-13c'!K157*100</f>
        <v>-1</v>
      </c>
      <c r="J210" s="128" t="s">
        <v>1450</v>
      </c>
      <c r="K210" s="128"/>
      <c r="L210" s="128"/>
      <c r="M210" s="128"/>
      <c r="N210" s="282">
        <f>+'2027 GSD Rate Class E-13c'!R157*100</f>
        <v>-1</v>
      </c>
      <c r="O210" s="128" t="s">
        <v>1450</v>
      </c>
      <c r="Q210" s="125">
        <f t="shared" si="22"/>
        <v>0</v>
      </c>
      <c r="R210" s="137"/>
      <c r="S210" s="137"/>
      <c r="T210" s="137"/>
    </row>
    <row r="211" spans="1:20" ht="14.1" customHeight="1" x14ac:dyDescent="0.2">
      <c r="A211" s="120">
        <v>7</v>
      </c>
      <c r="B211" s="276"/>
      <c r="F211" s="124" t="s">
        <v>1447</v>
      </c>
      <c r="G211" s="124"/>
      <c r="H211" s="128"/>
      <c r="I211" s="282">
        <f>+'2027 GSD Rate Class E-13c'!K158*100</f>
        <v>-2</v>
      </c>
      <c r="J211" s="128" t="s">
        <v>1450</v>
      </c>
      <c r="K211" s="128"/>
      <c r="L211" s="128"/>
      <c r="M211" s="128"/>
      <c r="N211" s="282">
        <f>+'2027 GSD Rate Class E-13c'!R158*100</f>
        <v>-2</v>
      </c>
      <c r="O211" s="128" t="s">
        <v>1450</v>
      </c>
      <c r="Q211" s="125">
        <f t="shared" si="22"/>
        <v>0</v>
      </c>
      <c r="R211" s="128"/>
      <c r="S211" s="128"/>
      <c r="T211" s="128"/>
    </row>
    <row r="212" spans="1:20" ht="14.1" customHeight="1" x14ac:dyDescent="0.2">
      <c r="A212" s="120">
        <v>8</v>
      </c>
      <c r="B212" s="276"/>
      <c r="C212" s="124"/>
      <c r="F212" s="113" t="s">
        <v>1436</v>
      </c>
      <c r="H212" s="128"/>
      <c r="I212" s="282">
        <f>+'2027 GSD Rate Class E-13c'!K94*100</f>
        <v>-1</v>
      </c>
      <c r="J212" s="128" t="s">
        <v>1450</v>
      </c>
      <c r="K212" s="128"/>
      <c r="L212" s="128"/>
      <c r="M212" s="128"/>
      <c r="N212" s="282">
        <f>+'2027 GSD Rate Class E-13c'!R94*100</f>
        <v>-1</v>
      </c>
      <c r="O212" s="128" t="s">
        <v>1450</v>
      </c>
      <c r="Q212" s="125">
        <f t="shared" si="22"/>
        <v>0</v>
      </c>
      <c r="R212" s="128"/>
      <c r="S212" s="128"/>
      <c r="T212" s="128"/>
    </row>
    <row r="213" spans="1:20" ht="14.1" customHeight="1" x14ac:dyDescent="0.2">
      <c r="A213" s="120">
        <v>9</v>
      </c>
      <c r="B213" s="276"/>
      <c r="C213" s="124"/>
      <c r="F213" s="113" t="s">
        <v>1437</v>
      </c>
      <c r="H213" s="128"/>
      <c r="I213" s="282">
        <f>+'2027 GSD Rate Class E-13c'!K95*100</f>
        <v>-2</v>
      </c>
      <c r="J213" s="128" t="s">
        <v>1450</v>
      </c>
      <c r="K213" s="128"/>
      <c r="L213" s="128"/>
      <c r="M213" s="128"/>
      <c r="N213" s="282">
        <f>+'2027 GSD Rate Class E-13c'!R95*100</f>
        <v>-2</v>
      </c>
      <c r="O213" s="128" t="s">
        <v>1450</v>
      </c>
      <c r="Q213" s="125">
        <f t="shared" si="22"/>
        <v>0</v>
      </c>
      <c r="R213" s="128"/>
      <c r="S213" s="128"/>
      <c r="T213" s="128"/>
    </row>
    <row r="214" spans="1:20" ht="14.1" customHeight="1" x14ac:dyDescent="0.2">
      <c r="A214" s="120">
        <v>10</v>
      </c>
      <c r="B214" s="276"/>
      <c r="C214" s="124"/>
      <c r="R214" s="128"/>
      <c r="S214" s="128"/>
      <c r="T214" s="128"/>
    </row>
    <row r="215" spans="1:20" ht="14.1" customHeight="1" x14ac:dyDescent="0.2">
      <c r="A215" s="120">
        <v>11</v>
      </c>
      <c r="B215" s="276"/>
      <c r="C215" s="124"/>
      <c r="R215" s="128"/>
      <c r="S215" s="128"/>
      <c r="T215" s="128"/>
    </row>
    <row r="216" spans="1:20" ht="14.1" customHeight="1" x14ac:dyDescent="0.2">
      <c r="A216" s="120">
        <v>12</v>
      </c>
      <c r="B216" s="276"/>
      <c r="C216" s="124"/>
      <c r="R216" s="128"/>
      <c r="S216" s="128"/>
      <c r="T216" s="128"/>
    </row>
    <row r="217" spans="1:20" ht="14.1" customHeight="1" x14ac:dyDescent="0.2">
      <c r="A217" s="120">
        <v>13</v>
      </c>
      <c r="B217" s="276"/>
      <c r="C217" s="137"/>
      <c r="R217" s="128"/>
      <c r="S217" s="128"/>
      <c r="T217" s="128"/>
    </row>
    <row r="218" spans="1:20" ht="14.1" customHeight="1" x14ac:dyDescent="0.2">
      <c r="A218" s="120">
        <v>14</v>
      </c>
      <c r="B218" s="276"/>
      <c r="C218" s="137"/>
      <c r="E218" s="342"/>
      <c r="G218" s="124"/>
      <c r="H218" s="128"/>
      <c r="I218" s="288"/>
      <c r="J218" s="128"/>
      <c r="K218" s="128"/>
      <c r="L218" s="128"/>
      <c r="M218" s="128"/>
      <c r="N218" s="288"/>
      <c r="O218" s="128"/>
      <c r="Q218" s="128"/>
      <c r="R218" s="128"/>
      <c r="S218" s="128"/>
      <c r="T218" s="128"/>
    </row>
    <row r="219" spans="1:20" ht="14.1" customHeight="1" x14ac:dyDescent="0.2">
      <c r="A219" s="120">
        <v>15</v>
      </c>
      <c r="B219" s="276"/>
      <c r="C219" s="137"/>
      <c r="E219" s="342"/>
      <c r="G219" s="124"/>
      <c r="H219" s="128"/>
      <c r="I219" s="288"/>
      <c r="J219" s="128"/>
      <c r="K219" s="128"/>
      <c r="L219" s="128"/>
      <c r="M219" s="128"/>
      <c r="N219" s="288"/>
      <c r="O219" s="128"/>
      <c r="Q219" s="128"/>
      <c r="R219" s="128"/>
      <c r="S219" s="128"/>
      <c r="T219" s="128"/>
    </row>
    <row r="220" spans="1:20" ht="14.1" customHeight="1" x14ac:dyDescent="0.2">
      <c r="A220" s="120">
        <v>16</v>
      </c>
      <c r="B220" s="276"/>
      <c r="C220" s="137"/>
      <c r="E220" s="342"/>
      <c r="G220" s="124"/>
      <c r="H220" s="128"/>
      <c r="I220" s="288"/>
      <c r="J220" s="128"/>
      <c r="K220" s="128"/>
      <c r="L220" s="128"/>
      <c r="M220" s="128"/>
      <c r="N220" s="288"/>
      <c r="O220" s="128"/>
      <c r="Q220" s="128"/>
      <c r="R220" s="128"/>
      <c r="S220" s="128"/>
      <c r="T220" s="128"/>
    </row>
    <row r="221" spans="1:20" ht="14.1" customHeight="1" x14ac:dyDescent="0.2">
      <c r="A221" s="120">
        <v>17</v>
      </c>
      <c r="B221" s="276"/>
      <c r="C221" s="137"/>
      <c r="E221" s="342"/>
      <c r="G221" s="124"/>
      <c r="H221" s="128"/>
      <c r="I221" s="288"/>
      <c r="J221" s="128"/>
      <c r="K221" s="128"/>
      <c r="L221" s="128"/>
      <c r="M221" s="128"/>
      <c r="N221" s="288"/>
      <c r="O221" s="128"/>
      <c r="Q221" s="128"/>
      <c r="R221" s="128"/>
      <c r="S221" s="128"/>
      <c r="T221" s="128"/>
    </row>
    <row r="222" spans="1:20" ht="14.1" customHeight="1" x14ac:dyDescent="0.2">
      <c r="A222" s="120">
        <v>18</v>
      </c>
      <c r="B222" s="276"/>
      <c r="C222" s="137"/>
      <c r="E222" s="342"/>
      <c r="G222" s="124"/>
      <c r="H222" s="128"/>
      <c r="I222" s="288"/>
      <c r="J222" s="128"/>
      <c r="K222" s="128"/>
      <c r="L222" s="128"/>
      <c r="M222" s="128"/>
      <c r="N222" s="288"/>
      <c r="O222" s="128"/>
      <c r="Q222" s="128"/>
      <c r="R222" s="128"/>
      <c r="S222" s="128"/>
      <c r="T222" s="128"/>
    </row>
    <row r="223" spans="1:20" ht="14.1" customHeight="1" x14ac:dyDescent="0.2">
      <c r="A223" s="120">
        <v>19</v>
      </c>
      <c r="B223" s="276"/>
      <c r="C223" s="137"/>
      <c r="F223" s="124"/>
      <c r="H223" s="128"/>
      <c r="I223" s="288"/>
      <c r="J223" s="128"/>
      <c r="K223" s="128"/>
      <c r="L223" s="128"/>
      <c r="M223" s="128"/>
      <c r="N223" s="288"/>
      <c r="O223" s="128"/>
      <c r="Q223" s="127"/>
      <c r="R223" s="128"/>
      <c r="S223" s="128"/>
      <c r="T223" s="128"/>
    </row>
    <row r="224" spans="1:20" ht="14.1" customHeight="1" x14ac:dyDescent="0.2">
      <c r="A224" s="120">
        <v>20</v>
      </c>
      <c r="B224" s="276"/>
      <c r="C224" s="137"/>
      <c r="F224" s="124"/>
      <c r="H224" s="128"/>
      <c r="I224" s="288"/>
      <c r="J224" s="128"/>
      <c r="K224" s="128"/>
      <c r="L224" s="128"/>
      <c r="M224" s="128"/>
      <c r="N224" s="288"/>
      <c r="O224" s="128"/>
      <c r="Q224" s="127"/>
      <c r="R224" s="128"/>
      <c r="S224" s="128"/>
      <c r="T224" s="128"/>
    </row>
    <row r="225" spans="1:20" ht="14.1" customHeight="1" x14ac:dyDescent="0.2">
      <c r="A225" s="120">
        <v>21</v>
      </c>
      <c r="B225" s="276"/>
      <c r="C225" s="137"/>
      <c r="F225" s="124"/>
      <c r="G225" s="128"/>
      <c r="H225" s="128"/>
      <c r="I225" s="288"/>
      <c r="J225" s="128"/>
      <c r="K225" s="128"/>
      <c r="L225" s="128"/>
      <c r="M225" s="128"/>
      <c r="N225" s="288"/>
      <c r="O225" s="128"/>
      <c r="Q225" s="127"/>
      <c r="R225" s="128"/>
      <c r="S225" s="128"/>
      <c r="T225" s="128"/>
    </row>
    <row r="226" spans="1:20" ht="14.1" customHeight="1" x14ac:dyDescent="0.2">
      <c r="A226" s="120">
        <v>22</v>
      </c>
      <c r="B226" s="276"/>
      <c r="C226" s="137"/>
      <c r="F226" s="124"/>
      <c r="G226" s="128"/>
      <c r="H226" s="128"/>
      <c r="I226" s="288"/>
      <c r="J226" s="128"/>
      <c r="K226" s="128"/>
      <c r="L226" s="128"/>
      <c r="M226" s="128"/>
      <c r="N226" s="288"/>
      <c r="O226" s="128"/>
      <c r="Q226" s="127"/>
      <c r="R226" s="128"/>
      <c r="S226" s="128"/>
      <c r="T226" s="128"/>
    </row>
    <row r="227" spans="1:20" ht="14.1" customHeight="1" x14ac:dyDescent="0.2">
      <c r="A227" s="120">
        <v>23</v>
      </c>
      <c r="B227" s="276"/>
      <c r="C227" s="137"/>
      <c r="G227" s="124"/>
      <c r="H227" s="128"/>
      <c r="I227" s="288"/>
      <c r="J227" s="128"/>
      <c r="K227" s="128"/>
      <c r="L227" s="128"/>
      <c r="M227" s="128"/>
      <c r="N227" s="288"/>
      <c r="O227" s="128"/>
      <c r="Q227" s="128"/>
      <c r="R227" s="128"/>
      <c r="S227" s="128"/>
      <c r="T227" s="128"/>
    </row>
    <row r="228" spans="1:20" ht="14.1" customHeight="1" x14ac:dyDescent="0.2">
      <c r="A228" s="120">
        <v>24</v>
      </c>
      <c r="B228" s="276"/>
      <c r="C228" s="137"/>
      <c r="R228" s="128"/>
      <c r="S228" s="128"/>
      <c r="T228" s="128"/>
    </row>
    <row r="229" spans="1:20" ht="14.1" customHeight="1" x14ac:dyDescent="0.2">
      <c r="A229" s="120">
        <v>25</v>
      </c>
      <c r="B229" s="276"/>
      <c r="C229" s="137"/>
      <c r="R229" s="128"/>
      <c r="S229" s="128"/>
      <c r="T229" s="128"/>
    </row>
    <row r="230" spans="1:20" ht="14.1" customHeight="1" x14ac:dyDescent="0.2">
      <c r="A230" s="120">
        <v>26</v>
      </c>
      <c r="B230" s="276"/>
      <c r="C230" s="137"/>
      <c r="R230" s="128"/>
      <c r="S230" s="128"/>
      <c r="T230" s="128"/>
    </row>
    <row r="231" spans="1:20" ht="14.1" customHeight="1" x14ac:dyDescent="0.2">
      <c r="A231" s="120">
        <v>27</v>
      </c>
      <c r="B231" s="276"/>
      <c r="C231" s="137"/>
      <c r="R231" s="128"/>
      <c r="S231" s="128"/>
      <c r="T231" s="128"/>
    </row>
    <row r="232" spans="1:20" ht="14.1" customHeight="1" x14ac:dyDescent="0.2">
      <c r="A232" s="120">
        <v>28</v>
      </c>
      <c r="B232" s="276"/>
      <c r="C232" s="137"/>
      <c r="R232" s="128"/>
      <c r="S232" s="128"/>
      <c r="T232" s="128"/>
    </row>
    <row r="233" spans="1:20" ht="14.1" customHeight="1" x14ac:dyDescent="0.2">
      <c r="A233" s="120">
        <v>29</v>
      </c>
      <c r="B233" s="276"/>
      <c r="C233" s="137"/>
      <c r="F233" s="128"/>
      <c r="G233" s="128"/>
      <c r="H233" s="128"/>
      <c r="I233" s="288"/>
      <c r="J233" s="128"/>
      <c r="K233" s="128"/>
      <c r="L233" s="128"/>
      <c r="M233" s="128"/>
      <c r="N233" s="288"/>
      <c r="O233" s="128"/>
      <c r="Q233" s="128"/>
      <c r="R233" s="128"/>
      <c r="S233" s="128"/>
      <c r="T233" s="128"/>
    </row>
    <row r="234" spans="1:20" ht="14.1" customHeight="1" x14ac:dyDescent="0.2">
      <c r="A234" s="120">
        <v>30</v>
      </c>
      <c r="B234" s="276"/>
      <c r="C234" s="137"/>
      <c r="E234" s="323"/>
      <c r="G234" s="128"/>
      <c r="H234" s="128"/>
      <c r="I234" s="288"/>
      <c r="J234" s="128"/>
      <c r="K234" s="128"/>
      <c r="L234" s="128"/>
      <c r="M234" s="128"/>
      <c r="N234" s="288"/>
      <c r="O234" s="128"/>
      <c r="Q234" s="127"/>
      <c r="R234" s="128"/>
      <c r="S234" s="128"/>
      <c r="T234" s="128"/>
    </row>
    <row r="235" spans="1:20" ht="14.1" customHeight="1" x14ac:dyDescent="0.2">
      <c r="A235" s="120">
        <v>31</v>
      </c>
      <c r="B235" s="276"/>
      <c r="C235" s="137"/>
      <c r="F235" s="128"/>
      <c r="G235" s="128"/>
      <c r="H235" s="128"/>
      <c r="I235" s="288"/>
      <c r="J235" s="128"/>
      <c r="K235" s="128"/>
      <c r="L235" s="128"/>
      <c r="M235" s="128"/>
      <c r="N235" s="128"/>
      <c r="O235" s="128"/>
      <c r="Q235" s="128"/>
      <c r="R235" s="128"/>
      <c r="S235" s="128"/>
      <c r="T235" s="128"/>
    </row>
    <row r="236" spans="1:20" ht="14.1" customHeight="1" x14ac:dyDescent="0.2">
      <c r="A236" s="120">
        <v>32</v>
      </c>
      <c r="B236" s="276"/>
      <c r="C236" s="137"/>
      <c r="F236" s="128"/>
      <c r="G236" s="128"/>
      <c r="H236" s="128"/>
      <c r="I236" s="128"/>
      <c r="J236" s="128"/>
      <c r="K236" s="128"/>
      <c r="L236" s="128"/>
      <c r="M236" s="128"/>
      <c r="N236" s="128"/>
      <c r="O236" s="128"/>
      <c r="Q236" s="128"/>
      <c r="R236" s="128"/>
      <c r="S236" s="128"/>
      <c r="T236" s="128"/>
    </row>
    <row r="237" spans="1:20" ht="14.1" customHeight="1" x14ac:dyDescent="0.2">
      <c r="A237" s="120">
        <v>33</v>
      </c>
      <c r="B237" s="276"/>
      <c r="C237" s="137"/>
      <c r="E237" s="342"/>
      <c r="H237" s="128"/>
      <c r="I237" s="288"/>
      <c r="J237" s="128"/>
      <c r="K237" s="128"/>
      <c r="L237" s="128"/>
      <c r="M237" s="128"/>
      <c r="N237" s="288"/>
      <c r="O237" s="128"/>
      <c r="Q237" s="128"/>
      <c r="R237" s="128"/>
      <c r="S237" s="128"/>
      <c r="T237" s="128"/>
    </row>
    <row r="238" spans="1:20" ht="14.1" customHeight="1" x14ac:dyDescent="0.2">
      <c r="A238" s="120">
        <v>34</v>
      </c>
      <c r="B238" s="276"/>
      <c r="C238" s="137"/>
      <c r="F238" s="124"/>
      <c r="G238" s="137"/>
      <c r="H238" s="128"/>
      <c r="I238" s="348"/>
      <c r="J238" s="128"/>
      <c r="K238" s="128"/>
      <c r="L238" s="128"/>
      <c r="M238" s="128"/>
      <c r="N238" s="348"/>
      <c r="O238" s="128"/>
      <c r="Q238" s="127"/>
      <c r="R238" s="128"/>
      <c r="S238" s="128"/>
      <c r="T238" s="128"/>
    </row>
    <row r="239" spans="1:20" ht="14.1" customHeight="1" x14ac:dyDescent="0.2">
      <c r="A239" s="120">
        <v>35</v>
      </c>
      <c r="B239" s="276"/>
      <c r="C239" s="137"/>
      <c r="F239" s="124"/>
      <c r="G239" s="137"/>
      <c r="H239" s="128"/>
      <c r="I239" s="348"/>
      <c r="J239" s="128"/>
      <c r="K239" s="128"/>
      <c r="L239" s="128"/>
      <c r="M239" s="128"/>
      <c r="N239" s="348"/>
      <c r="O239" s="128"/>
      <c r="Q239" s="127"/>
      <c r="R239" s="128"/>
      <c r="S239" s="128"/>
      <c r="T239" s="128"/>
    </row>
    <row r="240" spans="1:20" ht="14.1" customHeight="1" thickBot="1" x14ac:dyDescent="0.25">
      <c r="A240" s="118">
        <v>36</v>
      </c>
      <c r="B240" s="343"/>
      <c r="C240" s="344"/>
      <c r="D240" s="114"/>
      <c r="E240" s="114"/>
      <c r="F240" s="344"/>
      <c r="G240" s="344"/>
      <c r="H240" s="346"/>
      <c r="I240" s="349"/>
      <c r="J240" s="346"/>
      <c r="K240" s="346"/>
      <c r="L240" s="346"/>
      <c r="M240" s="346"/>
      <c r="N240" s="349"/>
      <c r="O240" s="346"/>
      <c r="P240" s="114"/>
      <c r="Q240" s="350"/>
      <c r="R240" s="346"/>
      <c r="S240" s="346"/>
      <c r="T240" s="346"/>
    </row>
    <row r="241" spans="1:20" ht="14.1" customHeight="1" x14ac:dyDescent="0.2">
      <c r="A241" s="113" t="str">
        <f>+$A$49</f>
        <v>Supporting Schedules:  E-7, E-14 Supplement</v>
      </c>
      <c r="R241" s="113" t="s">
        <v>1369</v>
      </c>
    </row>
    <row r="242" spans="1:20" ht="14.1" customHeight="1" thickBot="1" x14ac:dyDescent="0.25">
      <c r="A242" s="114" t="str">
        <f>+$A$2</f>
        <v>SCHEDULE A-3</v>
      </c>
      <c r="B242" s="114"/>
      <c r="C242" s="114"/>
      <c r="D242" s="114"/>
      <c r="E242" s="114"/>
      <c r="F242" s="114"/>
      <c r="G242" s="114"/>
      <c r="H242" s="114"/>
      <c r="I242" s="114" t="str">
        <f>+$I$2</f>
        <v>SUMMARY OF TARIFFS</v>
      </c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263" t="s">
        <v>1451</v>
      </c>
    </row>
    <row r="243" spans="1:20" ht="14.1" customHeight="1" x14ac:dyDescent="0.2">
      <c r="A243" s="113" t="s">
        <v>307</v>
      </c>
      <c r="F243" s="117" t="s">
        <v>1405</v>
      </c>
      <c r="G243" s="113" t="s">
        <v>1406</v>
      </c>
      <c r="L243" s="115"/>
      <c r="M243" s="115"/>
      <c r="O243" s="115"/>
      <c r="P243" s="115"/>
      <c r="Q243" s="115" t="s">
        <v>845</v>
      </c>
      <c r="T243" s="116"/>
    </row>
    <row r="244" spans="1:20" ht="14.1" customHeight="1" x14ac:dyDescent="0.2">
      <c r="G244" s="113" t="s">
        <v>1407</v>
      </c>
      <c r="L244" s="117"/>
      <c r="M244" s="116"/>
      <c r="P244" s="117"/>
      <c r="Q244" s="11" t="s">
        <v>916</v>
      </c>
      <c r="R244" s="10" t="s">
        <v>1512</v>
      </c>
      <c r="T244" s="117"/>
    </row>
    <row r="245" spans="1:20" ht="14.1" customHeight="1" x14ac:dyDescent="0.2">
      <c r="A245" s="113" t="s">
        <v>310</v>
      </c>
      <c r="L245" s="117"/>
      <c r="M245" s="116"/>
      <c r="N245" s="117"/>
      <c r="Q245" s="11"/>
      <c r="R245" s="10"/>
      <c r="T245" s="117"/>
    </row>
    <row r="246" spans="1:20" ht="14.1" customHeight="1" x14ac:dyDescent="0.2">
      <c r="L246" s="117"/>
      <c r="M246" s="116"/>
      <c r="N246" s="117"/>
      <c r="Q246" s="11"/>
      <c r="R246" s="10"/>
      <c r="T246" s="117"/>
    </row>
    <row r="247" spans="1:20" ht="14.1" customHeight="1" thickBot="1" x14ac:dyDescent="0.25">
      <c r="A247" s="114" t="s">
        <v>1520</v>
      </c>
      <c r="B247" s="114"/>
      <c r="C247" s="114"/>
      <c r="D247" s="114"/>
      <c r="E247" s="114"/>
      <c r="F247" s="114"/>
      <c r="G247" s="114"/>
      <c r="H247" s="114"/>
      <c r="I247" s="118"/>
      <c r="J247" s="114"/>
      <c r="K247" s="114"/>
      <c r="L247" s="114"/>
      <c r="M247" s="114"/>
      <c r="N247" s="114"/>
      <c r="O247" s="114"/>
      <c r="P247" s="114"/>
      <c r="Q247" s="114"/>
      <c r="R247" s="114" t="s">
        <v>1519</v>
      </c>
      <c r="S247" s="114"/>
      <c r="T247" s="114"/>
    </row>
    <row r="248" spans="1:20" ht="14.1" customHeight="1" x14ac:dyDescent="0.2">
      <c r="A248" s="113" t="str">
        <f>IF(+A$8="","",A$8)</f>
        <v/>
      </c>
      <c r="B248" s="120" t="str">
        <f t="shared" ref="B248:T248" si="23">IF(+B$8="","",B$8)</f>
        <v/>
      </c>
      <c r="C248" s="120" t="str">
        <f t="shared" si="23"/>
        <v>(1)</v>
      </c>
      <c r="D248" s="120" t="str">
        <f t="shared" si="23"/>
        <v/>
      </c>
      <c r="E248" s="120" t="str">
        <f t="shared" si="23"/>
        <v/>
      </c>
      <c r="F248" s="120" t="str">
        <f t="shared" si="23"/>
        <v>(2)</v>
      </c>
      <c r="G248" s="120" t="str">
        <f t="shared" si="23"/>
        <v/>
      </c>
      <c r="H248" s="120" t="str">
        <f>IF(+H$8="","",H$8)</f>
        <v/>
      </c>
      <c r="I248" s="120" t="str">
        <f>IF(+I$8="","",I$8)</f>
        <v>(3)</v>
      </c>
      <c r="J248" s="120" t="str">
        <f>IF(+J$8="","",J$8)</f>
        <v/>
      </c>
      <c r="K248" s="120"/>
      <c r="L248" s="120" t="str">
        <f t="shared" si="23"/>
        <v>(4)</v>
      </c>
      <c r="M248" s="120" t="str">
        <f t="shared" si="23"/>
        <v/>
      </c>
      <c r="N248" s="120" t="str">
        <f t="shared" si="23"/>
        <v>(5)</v>
      </c>
      <c r="O248" s="120" t="str">
        <f t="shared" si="23"/>
        <v/>
      </c>
      <c r="Q248" s="120" t="str">
        <f>IF(+Q$8="","",Q$8)</f>
        <v>(6)</v>
      </c>
      <c r="R248" s="120" t="str">
        <f t="shared" si="23"/>
        <v/>
      </c>
      <c r="S248" s="120" t="str">
        <f t="shared" si="23"/>
        <v/>
      </c>
      <c r="T248" s="120" t="str">
        <f t="shared" si="23"/>
        <v/>
      </c>
    </row>
    <row r="249" spans="1:20" ht="14.1" customHeight="1" x14ac:dyDescent="0.2">
      <c r="A249" s="113" t="str">
        <f>IF(+A$9="","",A$9)</f>
        <v/>
      </c>
      <c r="B249" s="120" t="str">
        <f t="shared" ref="B249:T249" si="24">IF(+B$9="","",B$9)</f>
        <v/>
      </c>
      <c r="C249" s="120" t="str">
        <f t="shared" si="24"/>
        <v/>
      </c>
      <c r="D249" s="120" t="str">
        <f t="shared" si="24"/>
        <v/>
      </c>
      <c r="E249" s="120" t="str">
        <f t="shared" si="24"/>
        <v/>
      </c>
      <c r="F249" s="120" t="str">
        <f t="shared" si="24"/>
        <v/>
      </c>
      <c r="G249" s="120" t="str">
        <f t="shared" si="24"/>
        <v/>
      </c>
      <c r="H249" s="120" t="str">
        <f>IF(+H$9="","",H$9)</f>
        <v/>
      </c>
      <c r="I249" s="120" t="str">
        <f>IF(+I$9="","",I$9)</f>
        <v/>
      </c>
      <c r="J249" s="120" t="str">
        <f>IF(+J$9="","",J$9)</f>
        <v/>
      </c>
      <c r="K249" s="120"/>
      <c r="L249" s="120" t="str">
        <f t="shared" si="24"/>
        <v/>
      </c>
      <c r="M249" s="120" t="str">
        <f t="shared" si="24"/>
        <v/>
      </c>
      <c r="N249" s="120" t="str">
        <f t="shared" si="24"/>
        <v/>
      </c>
      <c r="O249" s="120" t="str">
        <f t="shared" si="24"/>
        <v/>
      </c>
      <c r="Q249" s="120" t="str">
        <f>IF(+Q$9="","",Q$9)</f>
        <v/>
      </c>
      <c r="R249" s="120" t="str">
        <f t="shared" si="24"/>
        <v/>
      </c>
      <c r="S249" s="120" t="str">
        <f t="shared" si="24"/>
        <v/>
      </c>
      <c r="T249" s="120" t="str">
        <f t="shared" si="24"/>
        <v/>
      </c>
    </row>
    <row r="250" spans="1:20" ht="14.1" customHeight="1" x14ac:dyDescent="0.2">
      <c r="A250" s="113" t="str">
        <f>IF(+A$10="","",A$10)</f>
        <v/>
      </c>
      <c r="B250" s="120" t="str">
        <f t="shared" ref="B250:T250" si="25">IF(+B$10="","",B$10)</f>
        <v/>
      </c>
      <c r="C250" s="120" t="str">
        <f t="shared" si="25"/>
        <v xml:space="preserve">Current </v>
      </c>
      <c r="D250" s="120" t="str">
        <f t="shared" si="25"/>
        <v/>
      </c>
      <c r="E250" s="120" t="str">
        <f t="shared" si="25"/>
        <v/>
      </c>
      <c r="F250" s="120" t="str">
        <f t="shared" si="25"/>
        <v/>
      </c>
      <c r="G250" s="120" t="str">
        <f t="shared" si="25"/>
        <v/>
      </c>
      <c r="H250" s="120" t="str">
        <f>IF(+H$10="","",H$10)</f>
        <v/>
      </c>
      <c r="I250" s="120" t="str">
        <f>IF(+I$10="","",I$10)</f>
        <v/>
      </c>
      <c r="J250" s="120" t="str">
        <f>IF(+J$10="","",J$10)</f>
        <v/>
      </c>
      <c r="K250" s="120"/>
      <c r="L250" s="120" t="str">
        <f t="shared" si="25"/>
        <v>Proposed</v>
      </c>
      <c r="M250" s="120" t="str">
        <f t="shared" si="25"/>
        <v/>
      </c>
      <c r="N250" s="120" t="str">
        <f t="shared" si="25"/>
        <v/>
      </c>
      <c r="O250" s="120" t="str">
        <f t="shared" si="25"/>
        <v/>
      </c>
      <c r="Q250" s="120" t="str">
        <f>IF(+Q$10="","",Q$10)</f>
        <v>Percent</v>
      </c>
      <c r="R250" s="120" t="str">
        <f t="shared" si="25"/>
        <v/>
      </c>
      <c r="S250" s="120" t="str">
        <f t="shared" si="25"/>
        <v/>
      </c>
      <c r="T250" s="120" t="str">
        <f t="shared" si="25"/>
        <v/>
      </c>
    </row>
    <row r="251" spans="1:20" ht="14.1" customHeight="1" x14ac:dyDescent="0.2">
      <c r="A251" s="120" t="str">
        <f>IF(+A$11="","",A$11)</f>
        <v>Line</v>
      </c>
      <c r="B251" s="120" t="str">
        <f t="shared" ref="B251:T251" si="26">IF(+B$11="","",B$11)</f>
        <v/>
      </c>
      <c r="C251" s="120" t="str">
        <f t="shared" si="26"/>
        <v>Rate</v>
      </c>
      <c r="D251" s="120" t="str">
        <f t="shared" si="26"/>
        <v/>
      </c>
      <c r="E251" s="120" t="str">
        <f t="shared" si="26"/>
        <v/>
      </c>
      <c r="F251" s="120" t="str">
        <f t="shared" si="26"/>
        <v/>
      </c>
      <c r="G251" s="120" t="str">
        <f t="shared" si="26"/>
        <v/>
      </c>
      <c r="H251" s="120" t="str">
        <f>IF(+H$11="","",H$11)</f>
        <v/>
      </c>
      <c r="I251" s="120" t="str">
        <f>IF(+I$11="","",I$11)</f>
        <v>Current</v>
      </c>
      <c r="J251" s="120" t="str">
        <f>IF(+J$11="","",J$11)</f>
        <v/>
      </c>
      <c r="K251" s="120"/>
      <c r="L251" s="120" t="str">
        <f t="shared" si="26"/>
        <v>Rate</v>
      </c>
      <c r="M251" s="120" t="str">
        <f t="shared" si="26"/>
        <v/>
      </c>
      <c r="N251" s="120" t="str">
        <f t="shared" si="26"/>
        <v>Proposed</v>
      </c>
      <c r="O251" s="120" t="str">
        <f t="shared" si="26"/>
        <v/>
      </c>
      <c r="Q251" s="120" t="str">
        <f>IF(+Q$11="","",Q$11)</f>
        <v>Increase</v>
      </c>
      <c r="R251" s="120" t="str">
        <f t="shared" si="26"/>
        <v/>
      </c>
      <c r="S251" s="120" t="str">
        <f t="shared" si="26"/>
        <v/>
      </c>
      <c r="T251" s="120" t="str">
        <f t="shared" si="26"/>
        <v/>
      </c>
    </row>
    <row r="252" spans="1:20" ht="14.1" customHeight="1" thickBot="1" x14ac:dyDescent="0.25">
      <c r="A252" s="118" t="str">
        <f>IF(+A$12="","",A$12)</f>
        <v>No.</v>
      </c>
      <c r="B252" s="118" t="str">
        <f t="shared" ref="B252:T252" si="27">IF(+B$12="","",B$12)</f>
        <v/>
      </c>
      <c r="C252" s="118" t="str">
        <f t="shared" si="27"/>
        <v>Schedule</v>
      </c>
      <c r="D252" s="118" t="str">
        <f t="shared" si="27"/>
        <v/>
      </c>
      <c r="E252" s="118"/>
      <c r="F252" s="118" t="str">
        <f t="shared" si="27"/>
        <v>Type of Charge</v>
      </c>
      <c r="G252" s="118"/>
      <c r="H252" s="118" t="str">
        <f>IF(+H$12="","",H$12)</f>
        <v/>
      </c>
      <c r="I252" s="118" t="str">
        <f>IF(+I$12="","",I$12)</f>
        <v>Rate</v>
      </c>
      <c r="J252" s="118" t="str">
        <f>IF(+J$12="","",J$12)</f>
        <v/>
      </c>
      <c r="K252" s="118"/>
      <c r="L252" s="118" t="str">
        <f t="shared" si="27"/>
        <v>Schedule</v>
      </c>
      <c r="M252" s="118" t="str">
        <f t="shared" si="27"/>
        <v/>
      </c>
      <c r="N252" s="118" t="str">
        <f t="shared" si="27"/>
        <v>Rate</v>
      </c>
      <c r="O252" s="118" t="str">
        <f t="shared" si="27"/>
        <v/>
      </c>
      <c r="P252" s="114"/>
      <c r="Q252" s="118" t="str">
        <f>IF(+Q$12="","",Q$12)</f>
        <v>((5)-(3))/(3)</v>
      </c>
      <c r="R252" s="118" t="str">
        <f t="shared" si="27"/>
        <v/>
      </c>
      <c r="S252" s="118" t="str">
        <f t="shared" si="27"/>
        <v/>
      </c>
      <c r="T252" s="118" t="str">
        <f t="shared" si="27"/>
        <v/>
      </c>
    </row>
    <row r="253" spans="1:20" ht="14.1" customHeight="1" x14ac:dyDescent="0.2">
      <c r="A253" s="120">
        <v>1</v>
      </c>
      <c r="B253" s="340"/>
      <c r="C253" s="305" t="s">
        <v>395</v>
      </c>
      <c r="D253" s="137"/>
      <c r="E253" s="330" t="s">
        <v>326</v>
      </c>
      <c r="G253" s="124"/>
      <c r="H253" s="137"/>
      <c r="J253" s="137"/>
      <c r="K253" s="137"/>
      <c r="L253" s="305" t="s">
        <v>395</v>
      </c>
      <c r="M253" s="137"/>
      <c r="N253" s="137"/>
      <c r="O253" s="137"/>
      <c r="Q253" s="137"/>
      <c r="R253" s="137"/>
      <c r="S253" s="137"/>
      <c r="T253" s="137"/>
    </row>
    <row r="254" spans="1:20" ht="14.1" customHeight="1" x14ac:dyDescent="0.2">
      <c r="A254" s="120">
        <v>2</v>
      </c>
      <c r="B254" s="276"/>
      <c r="F254" s="147" t="s">
        <v>772</v>
      </c>
      <c r="G254" s="124"/>
      <c r="H254" s="137"/>
      <c r="I254" s="288">
        <f>'2027 GSD Rate Class E-13c'!K181</f>
        <v>1.8221798095199999</v>
      </c>
      <c r="J254" s="137" t="s">
        <v>1414</v>
      </c>
      <c r="K254" s="137"/>
      <c r="L254" s="137"/>
      <c r="M254" s="137"/>
      <c r="N254" s="288">
        <f>'2027 GSD Rate Class E-13c'!R181</f>
        <v>1.8955389787430039</v>
      </c>
      <c r="O254" s="137" t="s">
        <v>1414</v>
      </c>
      <c r="Q254" s="125">
        <f t="shared" ref="Q254:Q259" si="28">IF(I254=0,0,+(N254-I254)/I254)</f>
        <v>4.0259017710402759E-2</v>
      </c>
      <c r="R254" s="137"/>
      <c r="S254" s="137"/>
      <c r="T254" s="137"/>
    </row>
    <row r="255" spans="1:20" ht="14.1" customHeight="1" x14ac:dyDescent="0.2">
      <c r="A255" s="120">
        <v>3</v>
      </c>
      <c r="B255" s="276"/>
      <c r="F255" s="147" t="s">
        <v>745</v>
      </c>
      <c r="I255" s="288">
        <f>'2027 GSD Rate Class E-13c'!K182</f>
        <v>9.9160482657599989</v>
      </c>
      <c r="J255" s="137" t="s">
        <v>1414</v>
      </c>
      <c r="K255" s="137"/>
      <c r="N255" s="288">
        <f>'2027 GSD Rate Class E-13c'!R182</f>
        <v>10.315258628508438</v>
      </c>
      <c r="O255" s="137" t="s">
        <v>1414</v>
      </c>
      <c r="Q255" s="125">
        <f t="shared" si="28"/>
        <v>4.0259017710402654E-2</v>
      </c>
      <c r="R255" s="137"/>
      <c r="S255" s="137"/>
      <c r="T255" s="137"/>
    </row>
    <row r="256" spans="1:20" ht="14.1" customHeight="1" x14ac:dyDescent="0.2">
      <c r="A256" s="120">
        <v>4</v>
      </c>
      <c r="B256" s="276"/>
      <c r="F256" s="147" t="s">
        <v>768</v>
      </c>
      <c r="H256" s="128"/>
      <c r="I256" s="288">
        <f>'2027 GSD Rate Class E-13c'!K183</f>
        <v>27.290320868160002</v>
      </c>
      <c r="J256" s="137" t="s">
        <v>1414</v>
      </c>
      <c r="K256" s="137"/>
      <c r="L256" s="128"/>
      <c r="M256" s="122"/>
      <c r="N256" s="288">
        <f>'2027 GSD Rate Class E-13c'!R183</f>
        <v>28.38900237931383</v>
      </c>
      <c r="O256" s="137" t="s">
        <v>1414</v>
      </c>
      <c r="Q256" s="125">
        <f t="shared" si="28"/>
        <v>4.0259017710402765E-2</v>
      </c>
      <c r="R256" s="128"/>
      <c r="S256" s="128"/>
      <c r="T256" s="128"/>
    </row>
    <row r="257" spans="1:20" ht="14.1" customHeight="1" x14ac:dyDescent="0.2">
      <c r="A257" s="120">
        <v>5</v>
      </c>
      <c r="B257" s="276"/>
      <c r="C257" s="124"/>
      <c r="F257" s="113" t="s">
        <v>1435</v>
      </c>
      <c r="H257" s="137"/>
      <c r="I257" s="288">
        <f>'2027 GSD Rate Class E-13c'!K184</f>
        <v>1.8221798095199999</v>
      </c>
      <c r="J257" s="137" t="s">
        <v>1414</v>
      </c>
      <c r="K257" s="137"/>
      <c r="L257" s="137"/>
      <c r="M257" s="124"/>
      <c r="N257" s="288">
        <f>'2027 GSD Rate Class E-13c'!R184</f>
        <v>1.8955389787430039</v>
      </c>
      <c r="O257" s="137" t="s">
        <v>1414</v>
      </c>
      <c r="Q257" s="125">
        <f t="shared" si="28"/>
        <v>4.0259017710402759E-2</v>
      </c>
      <c r="R257" s="128"/>
      <c r="S257" s="128"/>
      <c r="T257" s="128"/>
    </row>
    <row r="258" spans="1:20" ht="14.1" customHeight="1" x14ac:dyDescent="0.2">
      <c r="A258" s="120">
        <v>6</v>
      </c>
      <c r="B258" s="276"/>
      <c r="C258" s="124"/>
      <c r="F258" s="113" t="s">
        <v>1436</v>
      </c>
      <c r="I258" s="288">
        <f>'2027 GSD Rate Class E-13c'!K185</f>
        <v>9.9160482657599989</v>
      </c>
      <c r="J258" s="137" t="s">
        <v>1414</v>
      </c>
      <c r="K258" s="137"/>
      <c r="N258" s="288">
        <f>'2027 GSD Rate Class E-13c'!R185</f>
        <v>10.315258628508438</v>
      </c>
      <c r="O258" s="137" t="s">
        <v>1414</v>
      </c>
      <c r="Q258" s="125">
        <f t="shared" si="28"/>
        <v>4.0259017710402654E-2</v>
      </c>
      <c r="R258" s="128"/>
      <c r="S258" s="128"/>
      <c r="T258" s="128"/>
    </row>
    <row r="259" spans="1:20" ht="14.1" customHeight="1" x14ac:dyDescent="0.2">
      <c r="A259" s="120">
        <v>7</v>
      </c>
      <c r="B259" s="276"/>
      <c r="C259" s="124"/>
      <c r="F259" s="113" t="s">
        <v>1437</v>
      </c>
      <c r="I259" s="288">
        <f>'2027 GSD Rate Class E-13c'!K186</f>
        <v>27.290320868160002</v>
      </c>
      <c r="J259" s="137" t="s">
        <v>1414</v>
      </c>
      <c r="K259" s="137"/>
      <c r="N259" s="288">
        <f>'2027 GSD Rate Class E-13c'!R186</f>
        <v>28.38900237931383</v>
      </c>
      <c r="O259" s="137" t="s">
        <v>1414</v>
      </c>
      <c r="Q259" s="125">
        <f t="shared" si="28"/>
        <v>4.0259017710402765E-2</v>
      </c>
      <c r="R259" s="128"/>
      <c r="S259" s="128"/>
      <c r="T259" s="128"/>
    </row>
    <row r="260" spans="1:20" ht="14.1" customHeight="1" x14ac:dyDescent="0.2">
      <c r="A260" s="120">
        <v>8</v>
      </c>
      <c r="B260" s="276"/>
      <c r="C260" s="124"/>
      <c r="Q260" s="141"/>
      <c r="R260" s="128"/>
      <c r="S260" s="128"/>
      <c r="T260" s="128"/>
    </row>
    <row r="261" spans="1:20" ht="14.1" customHeight="1" x14ac:dyDescent="0.2">
      <c r="A261" s="120">
        <v>9</v>
      </c>
      <c r="B261" s="276"/>
      <c r="C261" s="124"/>
      <c r="E261" s="116" t="s">
        <v>1452</v>
      </c>
      <c r="G261" s="137"/>
      <c r="H261" s="128"/>
      <c r="I261" s="288"/>
      <c r="J261" s="128"/>
      <c r="K261" s="128"/>
      <c r="L261" s="128"/>
      <c r="M261" s="122"/>
      <c r="N261" s="288"/>
      <c r="O261" s="128"/>
      <c r="Q261" s="364"/>
      <c r="R261" s="128"/>
      <c r="S261" s="128"/>
      <c r="T261" s="128"/>
    </row>
    <row r="262" spans="1:20" ht="14.1" customHeight="1" x14ac:dyDescent="0.2">
      <c r="A262" s="120">
        <v>10</v>
      </c>
      <c r="B262" s="276"/>
      <c r="C262" s="137"/>
      <c r="F262" s="147" t="s">
        <v>1453</v>
      </c>
      <c r="G262" s="137"/>
      <c r="H262" s="128"/>
      <c r="I262" s="351">
        <f>'2027 GSD Rate Class E-13c'!K236</f>
        <v>20.785255033525459</v>
      </c>
      <c r="J262" s="128" t="s">
        <v>1355</v>
      </c>
      <c r="K262" s="128"/>
      <c r="L262" s="128"/>
      <c r="M262" s="122"/>
      <c r="N262" s="351">
        <f>'2027 GSD Rate Class E-13c'!R236</f>
        <v>21.622048984035398</v>
      </c>
      <c r="O262" s="128" t="s">
        <v>1355</v>
      </c>
      <c r="Q262" s="125">
        <f>IF(I262=0,0,+(N262-I262)/I262)</f>
        <v>4.0259017710402745E-2</v>
      </c>
      <c r="R262" s="128"/>
      <c r="S262" s="128"/>
      <c r="T262" s="128"/>
    </row>
    <row r="263" spans="1:20" ht="14.1" customHeight="1" x14ac:dyDescent="0.2">
      <c r="A263" s="120">
        <v>11</v>
      </c>
      <c r="B263" s="276"/>
      <c r="C263" s="137"/>
      <c r="F263" s="113" t="s">
        <v>1454</v>
      </c>
      <c r="H263" s="128"/>
      <c r="I263" s="351">
        <f>'2027 GSD Rate Class E-13c'!K239</f>
        <v>5.3392890337040271</v>
      </c>
      <c r="J263" s="128" t="s">
        <v>1355</v>
      </c>
      <c r="K263" s="128"/>
      <c r="L263" s="128"/>
      <c r="M263" s="128"/>
      <c r="N263" s="351">
        <f>'2027 GSD Rate Class E-13c'!R239</f>
        <v>5.554243565472877</v>
      </c>
      <c r="O263" s="128" t="s">
        <v>1355</v>
      </c>
      <c r="Q263" s="125">
        <f>IF(I263=0,0,+(N263-I263)/I263)</f>
        <v>4.0259017710402807E-2</v>
      </c>
      <c r="R263" s="128"/>
      <c r="S263" s="128"/>
      <c r="T263" s="128"/>
    </row>
    <row r="264" spans="1:20" ht="14.1" customHeight="1" x14ac:dyDescent="0.2">
      <c r="A264" s="120">
        <v>12</v>
      </c>
      <c r="B264" s="276"/>
      <c r="C264" s="137"/>
      <c r="F264" s="113" t="s">
        <v>1455</v>
      </c>
      <c r="G264" s="137"/>
      <c r="H264" s="128"/>
      <c r="I264" s="351">
        <f>'2027 GSD Rate Class E-13c'!K242</f>
        <v>15.445965999821432</v>
      </c>
      <c r="J264" s="128" t="s">
        <v>1355</v>
      </c>
      <c r="K264" s="128"/>
      <c r="L264" s="128"/>
      <c r="M264" s="128"/>
      <c r="N264" s="351">
        <f>'2027 GSD Rate Class E-13c'!R242</f>
        <v>16.067805418562521</v>
      </c>
      <c r="O264" s="128" t="s">
        <v>1355</v>
      </c>
      <c r="Q264" s="125">
        <f>+(N264-I264)/I264</f>
        <v>4.0259017710402724E-2</v>
      </c>
      <c r="R264" s="128"/>
      <c r="S264" s="128"/>
      <c r="T264" s="128"/>
    </row>
    <row r="265" spans="1:20" ht="14.1" customHeight="1" x14ac:dyDescent="0.2">
      <c r="A265" s="120">
        <v>13</v>
      </c>
      <c r="B265" s="276"/>
      <c r="C265" s="137"/>
      <c r="Q265" s="141"/>
      <c r="R265" s="128"/>
      <c r="S265" s="128"/>
      <c r="T265" s="128"/>
    </row>
    <row r="266" spans="1:20" ht="14.1" customHeight="1" x14ac:dyDescent="0.2">
      <c r="A266" s="120">
        <v>14</v>
      </c>
      <c r="B266" s="276"/>
      <c r="C266" s="137"/>
      <c r="E266" s="342" t="s">
        <v>1456</v>
      </c>
      <c r="G266" s="124"/>
      <c r="H266" s="128"/>
      <c r="I266" s="288"/>
      <c r="J266" s="122"/>
      <c r="K266" s="122"/>
      <c r="L266" s="128"/>
      <c r="M266" s="128"/>
      <c r="N266" s="288"/>
      <c r="O266" s="122"/>
      <c r="Q266" s="364"/>
      <c r="R266" s="128"/>
      <c r="S266" s="128"/>
      <c r="T266" s="128"/>
    </row>
    <row r="267" spans="1:20" ht="14.1" customHeight="1" x14ac:dyDescent="0.2">
      <c r="A267" s="120">
        <v>15</v>
      </c>
      <c r="B267" s="276"/>
      <c r="C267" s="137"/>
      <c r="F267" s="113" t="s">
        <v>1457</v>
      </c>
      <c r="H267" s="128"/>
      <c r="I267" s="338">
        <f>'2027 GSD Rate Class E-13c'!K190</f>
        <v>8.1870962604480013E-3</v>
      </c>
      <c r="J267" s="334" t="s">
        <v>1418</v>
      </c>
      <c r="K267" s="128"/>
      <c r="L267" s="128"/>
      <c r="M267" s="128"/>
      <c r="N267" s="338">
        <f>'2027 GSD Rate Class E-13c'!R190</f>
        <v>8.5167007137941491E-3</v>
      </c>
      <c r="O267" s="334" t="s">
        <v>1418</v>
      </c>
      <c r="Q267" s="125">
        <f>IF(I267=0,0,+(N267-I267)/I267)</f>
        <v>4.0259017710402696E-2</v>
      </c>
      <c r="R267" s="128"/>
      <c r="S267" s="128"/>
      <c r="T267" s="128"/>
    </row>
    <row r="268" spans="1:20" ht="14.1" customHeight="1" x14ac:dyDescent="0.2">
      <c r="A268" s="120">
        <v>16</v>
      </c>
      <c r="B268" s="276"/>
      <c r="C268" s="137"/>
      <c r="F268" s="113" t="s">
        <v>1458</v>
      </c>
      <c r="G268" s="124"/>
      <c r="H268" s="128"/>
      <c r="I268" s="338">
        <f>'2027 GSD Rate Class E-13c'!K193</f>
        <v>1.3170546158112001E-2</v>
      </c>
      <c r="J268" s="334" t="s">
        <v>1418</v>
      </c>
      <c r="K268" s="128"/>
      <c r="L268" s="128"/>
      <c r="M268" s="128"/>
      <c r="N268" s="338">
        <f>'2027 GSD Rate Class E-13c'!R193</f>
        <v>1.3700779409147108E-2</v>
      </c>
      <c r="O268" s="334" t="s">
        <v>1418</v>
      </c>
      <c r="Q268" s="125">
        <f>IF(I268=0,0,+(N268-I268)/I268)</f>
        <v>4.025901771040271E-2</v>
      </c>
      <c r="R268" s="128"/>
      <c r="S268" s="128"/>
      <c r="T268" s="128"/>
    </row>
    <row r="269" spans="1:20" ht="14.1" customHeight="1" x14ac:dyDescent="0.2">
      <c r="A269" s="120">
        <v>17</v>
      </c>
      <c r="B269" s="276"/>
      <c r="C269" s="137"/>
      <c r="F269" s="113" t="s">
        <v>1459</v>
      </c>
      <c r="H269" s="128"/>
      <c r="I269" s="338">
        <f>'2027 GSD Rate Class E-13c'!K196</f>
        <v>8.6574729089519999E-3</v>
      </c>
      <c r="J269" s="334" t="s">
        <v>1418</v>
      </c>
      <c r="K269" s="128"/>
      <c r="L269" s="128"/>
      <c r="M269" s="128"/>
      <c r="N269" s="338">
        <f>'2027 GSD Rate Class E-13c'!R196</f>
        <v>9.0060142641208308E-3</v>
      </c>
      <c r="O269" s="334" t="s">
        <v>1418</v>
      </c>
      <c r="Q269" s="125">
        <f>IF(I269=0,0,+(N269-I269)/I269)</f>
        <v>4.0259017710402793E-2</v>
      </c>
      <c r="R269" s="128"/>
      <c r="S269" s="128"/>
      <c r="T269" s="128"/>
    </row>
    <row r="270" spans="1:20" ht="14.1" customHeight="1" x14ac:dyDescent="0.2">
      <c r="A270" s="120">
        <v>18</v>
      </c>
      <c r="B270" s="276"/>
      <c r="C270" s="137"/>
      <c r="F270" s="113" t="s">
        <v>1460</v>
      </c>
      <c r="I270" s="338">
        <f>'2027 GSD Rate Class E-13c'!K199</f>
        <v>4.8859844659920005E-3</v>
      </c>
      <c r="J270" s="334" t="s">
        <v>1418</v>
      </c>
      <c r="N270" s="338">
        <f>'2027 GSD Rate Class E-13c'!R199</f>
        <v>5.0826894011411251E-3</v>
      </c>
      <c r="O270" s="334" t="s">
        <v>1418</v>
      </c>
      <c r="Q270" s="125">
        <f>IF(I270=0,0,+(N270-I270)/I270)</f>
        <v>4.0259017710402738E-2</v>
      </c>
      <c r="R270" s="128"/>
      <c r="S270" s="128"/>
      <c r="T270" s="128"/>
    </row>
    <row r="271" spans="1:20" ht="14.1" customHeight="1" x14ac:dyDescent="0.2">
      <c r="A271" s="120">
        <v>19</v>
      </c>
      <c r="B271" s="276"/>
      <c r="C271" s="137"/>
      <c r="E271" s="116" t="s">
        <v>1461</v>
      </c>
      <c r="G271" s="137"/>
      <c r="H271" s="128"/>
      <c r="I271" s="288"/>
      <c r="J271" s="128"/>
      <c r="K271" s="128"/>
      <c r="L271" s="128"/>
      <c r="M271" s="128"/>
      <c r="N271" s="288"/>
      <c r="O271" s="128"/>
      <c r="Q271" s="364"/>
      <c r="R271" s="128"/>
      <c r="S271" s="128"/>
      <c r="T271" s="128"/>
    </row>
    <row r="272" spans="1:20" ht="14.1" customHeight="1" x14ac:dyDescent="0.2">
      <c r="A272" s="120">
        <v>20</v>
      </c>
      <c r="B272" s="276"/>
      <c r="C272" s="137"/>
      <c r="F272" s="113" t="s">
        <v>1462</v>
      </c>
      <c r="G272" s="137"/>
      <c r="H272" s="128"/>
      <c r="I272" s="351">
        <f>'2027 GSD Rate Class E-13c'!K246</f>
        <v>2.612491553878153</v>
      </c>
      <c r="J272" s="128" t="s">
        <v>1355</v>
      </c>
      <c r="K272" s="128"/>
      <c r="L272" s="128"/>
      <c r="M272" s="128"/>
      <c r="N272" s="351">
        <f>'2027 GSD Rate Class E-13c'!R246</f>
        <v>2.7176678976140112</v>
      </c>
      <c r="O272" s="128" t="s">
        <v>1355</v>
      </c>
      <c r="Q272" s="125">
        <f>IF(I272=0,0,+(N272-I272)/I272)</f>
        <v>4.0259017710402752E-2</v>
      </c>
      <c r="R272" s="128"/>
      <c r="S272" s="128"/>
      <c r="T272" s="128"/>
    </row>
    <row r="273" spans="1:20" ht="14.1" customHeight="1" x14ac:dyDescent="0.2">
      <c r="A273" s="120">
        <v>21</v>
      </c>
      <c r="B273" s="276"/>
      <c r="C273" s="137"/>
      <c r="F273" s="113" t="s">
        <v>1463</v>
      </c>
      <c r="L273" s="128"/>
      <c r="M273" s="128"/>
      <c r="Q273" s="364"/>
      <c r="R273" s="128"/>
      <c r="S273" s="128"/>
      <c r="T273" s="128"/>
    </row>
    <row r="274" spans="1:20" ht="14.1" customHeight="1" x14ac:dyDescent="0.2">
      <c r="A274" s="120">
        <v>22</v>
      </c>
      <c r="B274" s="276"/>
      <c r="C274" s="137"/>
      <c r="F274" s="113" t="s">
        <v>1464</v>
      </c>
      <c r="I274" s="351">
        <f>'2027 GSD Rate Class E-13c'!K249</f>
        <v>2.4979998921544095</v>
      </c>
      <c r="J274" s="113" t="s">
        <v>1465</v>
      </c>
      <c r="L274" s="128"/>
      <c r="M274" s="128"/>
      <c r="N274" s="351">
        <f>'2027 GSD Rate Class E-13c'!R249</f>
        <v>2.5985669140532379</v>
      </c>
      <c r="O274" s="113" t="s">
        <v>1465</v>
      </c>
      <c r="Q274" s="125">
        <f>IF(I274=0,0,+(N274-I274)/I274)</f>
        <v>4.0259017710402689E-2</v>
      </c>
      <c r="R274" s="128"/>
      <c r="S274" s="128"/>
      <c r="T274" s="128"/>
    </row>
    <row r="275" spans="1:20" ht="14.1" customHeight="1" x14ac:dyDescent="0.2">
      <c r="A275" s="120">
        <v>23</v>
      </c>
      <c r="B275" s="276"/>
      <c r="C275" s="137"/>
      <c r="F275" s="113" t="s">
        <v>1466</v>
      </c>
      <c r="I275" s="351">
        <f>'2027 GSD Rate Class E-13c'!K252</f>
        <v>0.98879162397778708</v>
      </c>
      <c r="J275" s="113" t="s">
        <v>1467</v>
      </c>
      <c r="L275" s="128"/>
      <c r="M275" s="128"/>
      <c r="N275" s="351">
        <f>'2027 GSD Rate Class E-13c'!R252</f>
        <v>1.0285994034794066</v>
      </c>
      <c r="O275" s="113" t="s">
        <v>1467</v>
      </c>
      <c r="Q275" s="125">
        <f>IF(I275=0,0,+(N275-I275)/I275)</f>
        <v>4.0259017710402634E-2</v>
      </c>
      <c r="R275" s="128"/>
      <c r="S275" s="128"/>
      <c r="T275" s="128"/>
    </row>
    <row r="276" spans="1:20" ht="14.1" customHeight="1" x14ac:dyDescent="0.2">
      <c r="A276" s="120">
        <v>24</v>
      </c>
      <c r="B276" s="276"/>
      <c r="C276" s="137"/>
      <c r="Q276" s="364"/>
      <c r="R276" s="128"/>
      <c r="S276" s="128"/>
      <c r="T276" s="128"/>
    </row>
    <row r="277" spans="1:20" ht="14.1" customHeight="1" x14ac:dyDescent="0.2">
      <c r="A277" s="120">
        <v>25</v>
      </c>
      <c r="B277" s="276"/>
      <c r="C277" s="137"/>
      <c r="E277" s="342" t="s">
        <v>1468</v>
      </c>
      <c r="G277" s="124"/>
      <c r="H277" s="128"/>
      <c r="Q277" s="364"/>
      <c r="R277" s="128"/>
      <c r="S277" s="128"/>
      <c r="T277" s="128"/>
    </row>
    <row r="278" spans="1:20" ht="14.1" customHeight="1" x14ac:dyDescent="0.2">
      <c r="A278" s="120">
        <v>26</v>
      </c>
      <c r="B278" s="276"/>
      <c r="C278" s="137"/>
      <c r="F278" s="113" t="s">
        <v>1469</v>
      </c>
      <c r="H278" s="128"/>
      <c r="I278" s="338">
        <f>'2027 GSD Rate Class E-13c'!K205</f>
        <v>9.5330726837010004E-3</v>
      </c>
      <c r="J278" s="334" t="s">
        <v>1418</v>
      </c>
      <c r="K278" s="128"/>
      <c r="L278" s="128"/>
      <c r="M278" s="128"/>
      <c r="N278" s="338">
        <f>'2027 GSD Rate Class E-13c'!R205</f>
        <v>9.916864825708676E-3</v>
      </c>
      <c r="O278" s="334" t="s">
        <v>1418</v>
      </c>
      <c r="Q278" s="125">
        <f>IF(I278=0,0,+(N278-I278)/I278)</f>
        <v>4.0259017710402786E-2</v>
      </c>
      <c r="R278" s="128"/>
      <c r="S278" s="128"/>
      <c r="T278" s="128"/>
    </row>
    <row r="279" spans="1:20" ht="14.1" customHeight="1" x14ac:dyDescent="0.2">
      <c r="A279" s="120">
        <v>27</v>
      </c>
      <c r="B279" s="276"/>
      <c r="C279" s="137"/>
      <c r="Q279" s="128"/>
      <c r="R279" s="128"/>
      <c r="S279" s="128"/>
      <c r="T279" s="128"/>
    </row>
    <row r="280" spans="1:20" ht="14.1" customHeight="1" x14ac:dyDescent="0.2">
      <c r="A280" s="120">
        <v>28</v>
      </c>
      <c r="B280" s="276"/>
      <c r="C280" s="137"/>
      <c r="R280" s="128"/>
      <c r="S280" s="128"/>
      <c r="T280" s="128"/>
    </row>
    <row r="281" spans="1:20" ht="14.1" customHeight="1" x14ac:dyDescent="0.2">
      <c r="A281" s="120">
        <v>29</v>
      </c>
      <c r="B281" s="276"/>
      <c r="C281" s="137"/>
      <c r="R281" s="128"/>
      <c r="S281" s="128"/>
      <c r="T281" s="128"/>
    </row>
    <row r="282" spans="1:20" ht="14.1" customHeight="1" x14ac:dyDescent="0.2">
      <c r="A282" s="120">
        <v>30</v>
      </c>
      <c r="B282" s="276"/>
      <c r="C282" s="137"/>
      <c r="R282" s="128"/>
      <c r="S282" s="128"/>
      <c r="T282" s="128"/>
    </row>
    <row r="283" spans="1:20" ht="14.1" customHeight="1" x14ac:dyDescent="0.2">
      <c r="A283" s="120">
        <v>31</v>
      </c>
      <c r="B283" s="276"/>
      <c r="C283" s="137"/>
      <c r="R283" s="128"/>
      <c r="S283" s="128"/>
      <c r="T283" s="128"/>
    </row>
    <row r="284" spans="1:20" ht="14.1" customHeight="1" x14ac:dyDescent="0.2">
      <c r="A284" s="120">
        <v>32</v>
      </c>
      <c r="B284" s="276"/>
      <c r="C284" s="137"/>
      <c r="R284" s="128"/>
      <c r="S284" s="128"/>
      <c r="T284" s="128"/>
    </row>
    <row r="285" spans="1:20" ht="14.1" customHeight="1" x14ac:dyDescent="0.2">
      <c r="A285" s="120">
        <v>33</v>
      </c>
      <c r="B285" s="276"/>
      <c r="C285" s="137"/>
      <c r="R285" s="128"/>
      <c r="S285" s="128"/>
      <c r="T285" s="128"/>
    </row>
    <row r="286" spans="1:20" ht="14.1" customHeight="1" x14ac:dyDescent="0.2">
      <c r="A286" s="120">
        <v>34</v>
      </c>
      <c r="B286" s="276"/>
      <c r="C286" s="137"/>
      <c r="R286" s="128"/>
      <c r="S286" s="128"/>
      <c r="T286" s="128"/>
    </row>
    <row r="287" spans="1:20" ht="14.1" customHeight="1" x14ac:dyDescent="0.2">
      <c r="A287" s="120">
        <v>35</v>
      </c>
      <c r="B287" s="276"/>
      <c r="C287" s="137"/>
      <c r="R287" s="128"/>
      <c r="S287" s="128"/>
      <c r="T287" s="128"/>
    </row>
    <row r="288" spans="1:20" ht="14.1" customHeight="1" thickBot="1" x14ac:dyDescent="0.25">
      <c r="A288" s="118">
        <v>36</v>
      </c>
      <c r="B288" s="343"/>
      <c r="C288" s="344"/>
      <c r="D288" s="114"/>
      <c r="E288" s="114"/>
      <c r="F288" s="114"/>
      <c r="G288" s="114"/>
      <c r="H288" s="114"/>
      <c r="I288" s="114"/>
      <c r="J288" s="114"/>
      <c r="K288" s="114"/>
      <c r="L288" s="114"/>
      <c r="M288" s="114"/>
      <c r="N288" s="114"/>
      <c r="O288" s="114"/>
      <c r="P288" s="114"/>
      <c r="Q288" s="114"/>
      <c r="R288" s="346"/>
      <c r="S288" s="346"/>
      <c r="T288" s="347" t="s">
        <v>926</v>
      </c>
    </row>
    <row r="289" spans="1:20" ht="14.1" customHeight="1" x14ac:dyDescent="0.2">
      <c r="A289" s="113" t="str">
        <f>+$A$49</f>
        <v>Supporting Schedules:  E-7, E-14 Supplement</v>
      </c>
      <c r="R289" s="113" t="s">
        <v>1369</v>
      </c>
    </row>
    <row r="290" spans="1:20" ht="14.1" customHeight="1" thickBot="1" x14ac:dyDescent="0.25">
      <c r="A290" s="114" t="str">
        <f>+$A$2</f>
        <v>SCHEDULE A-3</v>
      </c>
      <c r="B290" s="114"/>
      <c r="C290" s="114"/>
      <c r="D290" s="114"/>
      <c r="E290" s="114"/>
      <c r="F290" s="114"/>
      <c r="G290" s="114"/>
      <c r="H290" s="114"/>
      <c r="I290" s="114" t="str">
        <f>+$I$2</f>
        <v>SUMMARY OF TARIFFS</v>
      </c>
      <c r="J290" s="114"/>
      <c r="K290" s="114"/>
      <c r="L290" s="114"/>
      <c r="M290" s="114"/>
      <c r="N290" s="114"/>
      <c r="O290" s="114"/>
      <c r="P290" s="114"/>
      <c r="Q290" s="114"/>
      <c r="R290" s="114"/>
      <c r="S290" s="114"/>
      <c r="T290" s="263" t="s">
        <v>1470</v>
      </c>
    </row>
    <row r="291" spans="1:20" ht="14.1" customHeight="1" x14ac:dyDescent="0.2">
      <c r="A291" s="113" t="s">
        <v>307</v>
      </c>
      <c r="F291" s="117" t="s">
        <v>1405</v>
      </c>
      <c r="G291" s="113" t="s">
        <v>1406</v>
      </c>
      <c r="L291" s="115"/>
      <c r="M291" s="115"/>
      <c r="O291" s="115"/>
      <c r="P291" s="115"/>
      <c r="Q291" s="115" t="s">
        <v>845</v>
      </c>
      <c r="T291" s="116"/>
    </row>
    <row r="292" spans="1:20" ht="14.1" customHeight="1" x14ac:dyDescent="0.2">
      <c r="G292" s="113" t="s">
        <v>1407</v>
      </c>
      <c r="L292" s="117"/>
      <c r="M292" s="116"/>
      <c r="P292" s="117"/>
      <c r="Q292" s="11" t="s">
        <v>916</v>
      </c>
      <c r="R292" s="10" t="s">
        <v>1512</v>
      </c>
      <c r="T292" s="117"/>
    </row>
    <row r="293" spans="1:20" ht="14.1" customHeight="1" x14ac:dyDescent="0.2">
      <c r="A293" s="113" t="s">
        <v>310</v>
      </c>
      <c r="L293" s="117"/>
      <c r="M293" s="116"/>
      <c r="N293" s="117"/>
      <c r="Q293" s="11"/>
      <c r="R293" s="10"/>
      <c r="T293" s="117"/>
    </row>
    <row r="294" spans="1:20" ht="14.1" customHeight="1" x14ac:dyDescent="0.2">
      <c r="L294" s="117"/>
      <c r="M294" s="116"/>
      <c r="N294" s="117"/>
      <c r="Q294" s="11"/>
      <c r="R294" s="10"/>
      <c r="T294" s="117"/>
    </row>
    <row r="295" spans="1:20" ht="14.1" customHeight="1" thickBot="1" x14ac:dyDescent="0.25">
      <c r="A295" s="114" t="s">
        <v>1520</v>
      </c>
      <c r="B295" s="114"/>
      <c r="C295" s="114"/>
      <c r="D295" s="114"/>
      <c r="E295" s="114"/>
      <c r="F295" s="114"/>
      <c r="G295" s="114"/>
      <c r="H295" s="114"/>
      <c r="I295" s="118"/>
      <c r="J295" s="114"/>
      <c r="K295" s="114"/>
      <c r="L295" s="114"/>
      <c r="M295" s="114"/>
      <c r="N295" s="114"/>
      <c r="O295" s="114"/>
      <c r="P295" s="114"/>
      <c r="Q295" s="114"/>
      <c r="R295" s="114" t="s">
        <v>1519</v>
      </c>
      <c r="S295" s="114"/>
      <c r="T295" s="114"/>
    </row>
    <row r="296" spans="1:20" ht="14.1" customHeight="1" x14ac:dyDescent="0.2">
      <c r="A296" s="113" t="str">
        <f>IF(+A$8="","",A$8)</f>
        <v/>
      </c>
      <c r="B296" s="120" t="str">
        <f t="shared" ref="B296:T296" si="29">IF(+B$8="","",B$8)</f>
        <v/>
      </c>
      <c r="C296" s="120" t="str">
        <f t="shared" si="29"/>
        <v>(1)</v>
      </c>
      <c r="D296" s="120" t="str">
        <f t="shared" si="29"/>
        <v/>
      </c>
      <c r="E296" s="120" t="str">
        <f t="shared" si="29"/>
        <v/>
      </c>
      <c r="F296" s="120" t="str">
        <f t="shared" si="29"/>
        <v>(2)</v>
      </c>
      <c r="G296" s="120" t="str">
        <f t="shared" si="29"/>
        <v/>
      </c>
      <c r="H296" s="120" t="str">
        <f>IF(+H$8="","",H$8)</f>
        <v/>
      </c>
      <c r="I296" s="120" t="str">
        <f>IF(+I$8="","",I$8)</f>
        <v>(3)</v>
      </c>
      <c r="J296" s="120" t="str">
        <f>IF(+J$8="","",J$8)</f>
        <v/>
      </c>
      <c r="K296" s="120"/>
      <c r="L296" s="120" t="str">
        <f t="shared" si="29"/>
        <v>(4)</v>
      </c>
      <c r="M296" s="120" t="str">
        <f t="shared" si="29"/>
        <v/>
      </c>
      <c r="N296" s="120" t="str">
        <f t="shared" si="29"/>
        <v>(5)</v>
      </c>
      <c r="O296" s="120" t="str">
        <f t="shared" si="29"/>
        <v/>
      </c>
      <c r="Q296" s="120" t="str">
        <f>IF(+Q$8="","",Q$8)</f>
        <v>(6)</v>
      </c>
      <c r="R296" s="120" t="str">
        <f t="shared" si="29"/>
        <v/>
      </c>
      <c r="S296" s="120" t="str">
        <f t="shared" si="29"/>
        <v/>
      </c>
      <c r="T296" s="120" t="str">
        <f t="shared" si="29"/>
        <v/>
      </c>
    </row>
    <row r="297" spans="1:20" ht="14.1" customHeight="1" x14ac:dyDescent="0.2">
      <c r="A297" s="113" t="str">
        <f>IF(+A$9="","",A$9)</f>
        <v/>
      </c>
      <c r="B297" s="120" t="str">
        <f t="shared" ref="B297:T297" si="30">IF(+B$9="","",B$9)</f>
        <v/>
      </c>
      <c r="C297" s="120" t="str">
        <f t="shared" si="30"/>
        <v/>
      </c>
      <c r="D297" s="120" t="str">
        <f t="shared" si="30"/>
        <v/>
      </c>
      <c r="E297" s="120" t="str">
        <f t="shared" si="30"/>
        <v/>
      </c>
      <c r="F297" s="120" t="str">
        <f t="shared" si="30"/>
        <v/>
      </c>
      <c r="G297" s="120" t="str">
        <f t="shared" si="30"/>
        <v/>
      </c>
      <c r="H297" s="120" t="str">
        <f>IF(+H$9="","",H$9)</f>
        <v/>
      </c>
      <c r="I297" s="120" t="str">
        <f>IF(+I$9="","",I$9)</f>
        <v/>
      </c>
      <c r="J297" s="120" t="str">
        <f>IF(+J$9="","",J$9)</f>
        <v/>
      </c>
      <c r="K297" s="120"/>
      <c r="L297" s="120" t="str">
        <f t="shared" si="30"/>
        <v/>
      </c>
      <c r="M297" s="120" t="str">
        <f t="shared" si="30"/>
        <v/>
      </c>
      <c r="N297" s="120" t="str">
        <f t="shared" si="30"/>
        <v/>
      </c>
      <c r="O297" s="120" t="str">
        <f t="shared" si="30"/>
        <v/>
      </c>
      <c r="Q297" s="120" t="str">
        <f>IF(+Q$9="","",Q$9)</f>
        <v/>
      </c>
      <c r="R297" s="120" t="str">
        <f t="shared" si="30"/>
        <v/>
      </c>
      <c r="S297" s="120" t="str">
        <f t="shared" si="30"/>
        <v/>
      </c>
      <c r="T297" s="120" t="str">
        <f t="shared" si="30"/>
        <v/>
      </c>
    </row>
    <row r="298" spans="1:20" ht="14.1" customHeight="1" x14ac:dyDescent="0.2">
      <c r="A298" s="113" t="str">
        <f>IF(+A$10="","",A$10)</f>
        <v/>
      </c>
      <c r="B298" s="120" t="str">
        <f t="shared" ref="B298:T298" si="31">IF(+B$10="","",B$10)</f>
        <v/>
      </c>
      <c r="C298" s="120" t="str">
        <f t="shared" si="31"/>
        <v xml:space="preserve">Current </v>
      </c>
      <c r="D298" s="120" t="str">
        <f t="shared" si="31"/>
        <v/>
      </c>
      <c r="E298" s="120" t="str">
        <f t="shared" si="31"/>
        <v/>
      </c>
      <c r="F298" s="120" t="str">
        <f t="shared" si="31"/>
        <v/>
      </c>
      <c r="G298" s="120" t="str">
        <f t="shared" si="31"/>
        <v/>
      </c>
      <c r="H298" s="120" t="str">
        <f>IF(+H$10="","",H$10)</f>
        <v/>
      </c>
      <c r="I298" s="120" t="str">
        <f>IF(+I$10="","",I$10)</f>
        <v/>
      </c>
      <c r="J298" s="120" t="str">
        <f>IF(+J$10="","",J$10)</f>
        <v/>
      </c>
      <c r="K298" s="120"/>
      <c r="L298" s="120" t="str">
        <f t="shared" si="31"/>
        <v>Proposed</v>
      </c>
      <c r="M298" s="120" t="str">
        <f t="shared" si="31"/>
        <v/>
      </c>
      <c r="N298" s="120" t="str">
        <f t="shared" si="31"/>
        <v/>
      </c>
      <c r="O298" s="120" t="str">
        <f t="shared" si="31"/>
        <v/>
      </c>
      <c r="Q298" s="120" t="str">
        <f>IF(+Q$10="","",Q$10)</f>
        <v>Percent</v>
      </c>
      <c r="R298" s="120" t="str">
        <f t="shared" si="31"/>
        <v/>
      </c>
      <c r="S298" s="120" t="str">
        <f t="shared" si="31"/>
        <v/>
      </c>
      <c r="T298" s="120" t="str">
        <f t="shared" si="31"/>
        <v/>
      </c>
    </row>
    <row r="299" spans="1:20" ht="14.1" customHeight="1" x14ac:dyDescent="0.2">
      <c r="A299" s="120" t="str">
        <f>IF(+A$11="","",A$11)</f>
        <v>Line</v>
      </c>
      <c r="B299" s="120" t="str">
        <f t="shared" ref="B299:T299" si="32">IF(+B$11="","",B$11)</f>
        <v/>
      </c>
      <c r="C299" s="120" t="str">
        <f t="shared" si="32"/>
        <v>Rate</v>
      </c>
      <c r="D299" s="120" t="str">
        <f t="shared" si="32"/>
        <v/>
      </c>
      <c r="E299" s="120" t="str">
        <f t="shared" si="32"/>
        <v/>
      </c>
      <c r="F299" s="120" t="str">
        <f t="shared" si="32"/>
        <v/>
      </c>
      <c r="G299" s="120" t="str">
        <f t="shared" si="32"/>
        <v/>
      </c>
      <c r="H299" s="120" t="str">
        <f>IF(+H$11="","",H$11)</f>
        <v/>
      </c>
      <c r="I299" s="120" t="str">
        <f>IF(+I$11="","",I$11)</f>
        <v>Current</v>
      </c>
      <c r="J299" s="120" t="str">
        <f>IF(+J$11="","",J$11)</f>
        <v/>
      </c>
      <c r="K299" s="120"/>
      <c r="L299" s="120" t="str">
        <f t="shared" si="32"/>
        <v>Rate</v>
      </c>
      <c r="M299" s="120" t="str">
        <f t="shared" si="32"/>
        <v/>
      </c>
      <c r="N299" s="120" t="str">
        <f t="shared" si="32"/>
        <v>Proposed</v>
      </c>
      <c r="O299" s="120" t="str">
        <f t="shared" si="32"/>
        <v/>
      </c>
      <c r="Q299" s="120" t="str">
        <f>IF(+Q$11="","",Q$11)</f>
        <v>Increase</v>
      </c>
      <c r="R299" s="120" t="str">
        <f t="shared" si="32"/>
        <v/>
      </c>
      <c r="S299" s="120" t="str">
        <f t="shared" si="32"/>
        <v/>
      </c>
      <c r="T299" s="120" t="str">
        <f t="shared" si="32"/>
        <v/>
      </c>
    </row>
    <row r="300" spans="1:20" ht="14.1" customHeight="1" thickBot="1" x14ac:dyDescent="0.25">
      <c r="A300" s="118" t="str">
        <f>IF(+A$12="","",A$12)</f>
        <v>No.</v>
      </c>
      <c r="B300" s="118" t="str">
        <f t="shared" ref="B300:T300" si="33">IF(+B$12="","",B$12)</f>
        <v/>
      </c>
      <c r="C300" s="118" t="str">
        <f t="shared" si="33"/>
        <v>Schedule</v>
      </c>
      <c r="D300" s="118" t="str">
        <f t="shared" si="33"/>
        <v/>
      </c>
      <c r="E300" s="118"/>
      <c r="F300" s="118" t="str">
        <f t="shared" si="33"/>
        <v>Type of Charge</v>
      </c>
      <c r="G300" s="118"/>
      <c r="H300" s="118" t="str">
        <f>IF(+H$12="","",H$12)</f>
        <v/>
      </c>
      <c r="I300" s="118" t="str">
        <f>IF(+I$12="","",I$12)</f>
        <v>Rate</v>
      </c>
      <c r="J300" s="118" t="str">
        <f>IF(+J$12="","",J$12)</f>
        <v/>
      </c>
      <c r="K300" s="118"/>
      <c r="L300" s="118" t="str">
        <f t="shared" si="33"/>
        <v>Schedule</v>
      </c>
      <c r="M300" s="118" t="str">
        <f t="shared" si="33"/>
        <v/>
      </c>
      <c r="N300" s="118" t="str">
        <f t="shared" si="33"/>
        <v>Rate</v>
      </c>
      <c r="O300" s="118" t="str">
        <f t="shared" si="33"/>
        <v/>
      </c>
      <c r="P300" s="114"/>
      <c r="Q300" s="118" t="str">
        <f>IF(+Q$12="","",Q$12)</f>
        <v>((5)-(3))/(3)</v>
      </c>
      <c r="R300" s="118" t="str">
        <f t="shared" si="33"/>
        <v/>
      </c>
      <c r="S300" s="118" t="str">
        <f t="shared" si="33"/>
        <v/>
      </c>
      <c r="T300" s="118" t="str">
        <f t="shared" si="33"/>
        <v/>
      </c>
    </row>
    <row r="301" spans="1:20" ht="14.1" customHeight="1" x14ac:dyDescent="0.2">
      <c r="A301" s="120">
        <v>1</v>
      </c>
      <c r="B301" s="377" t="s">
        <v>927</v>
      </c>
      <c r="C301" s="377"/>
      <c r="D301" s="377"/>
      <c r="E301" s="352"/>
      <c r="G301" s="124"/>
      <c r="H301" s="137"/>
      <c r="J301" s="137"/>
      <c r="K301" s="137"/>
      <c r="L301" s="305"/>
      <c r="M301" s="137"/>
      <c r="N301" s="137"/>
      <c r="O301" s="137"/>
      <c r="Q301" s="137"/>
      <c r="R301" s="137"/>
      <c r="S301" s="137"/>
      <c r="T301" s="137"/>
    </row>
    <row r="302" spans="1:20" ht="14.1" customHeight="1" x14ac:dyDescent="0.2">
      <c r="A302" s="120">
        <v>2</v>
      </c>
      <c r="B302" s="276"/>
      <c r="C302" s="305" t="s">
        <v>395</v>
      </c>
      <c r="L302" s="305" t="s">
        <v>395</v>
      </c>
      <c r="R302" s="137"/>
      <c r="S302" s="137"/>
      <c r="T302" s="137"/>
    </row>
    <row r="303" spans="1:20" ht="14.1" customHeight="1" x14ac:dyDescent="0.2">
      <c r="A303" s="120">
        <v>3</v>
      </c>
      <c r="B303" s="276"/>
      <c r="E303" s="342" t="s">
        <v>733</v>
      </c>
      <c r="G303" s="124"/>
      <c r="H303" s="128"/>
      <c r="I303" s="288"/>
      <c r="J303" s="128"/>
      <c r="K303" s="128"/>
      <c r="L303" s="128"/>
      <c r="M303" s="128"/>
      <c r="N303" s="288"/>
      <c r="O303" s="128"/>
      <c r="Q303" s="128"/>
      <c r="R303" s="137"/>
      <c r="S303" s="137"/>
      <c r="T303" s="137"/>
    </row>
    <row r="304" spans="1:20" ht="14.1" customHeight="1" x14ac:dyDescent="0.2">
      <c r="A304" s="120">
        <v>4</v>
      </c>
      <c r="B304" s="276"/>
      <c r="F304" s="113" t="s">
        <v>1471</v>
      </c>
      <c r="R304" s="128"/>
      <c r="S304" s="128"/>
      <c r="T304" s="128"/>
    </row>
    <row r="305" spans="1:20" ht="14.1" customHeight="1" x14ac:dyDescent="0.2">
      <c r="A305" s="120">
        <v>5</v>
      </c>
      <c r="B305" s="276"/>
      <c r="C305" s="124"/>
      <c r="F305" s="337" t="s">
        <v>745</v>
      </c>
      <c r="I305" s="288">
        <f>'2027 GSD Rate Class E-13c'!K307</f>
        <v>-0.57207970764000005</v>
      </c>
      <c r="J305" s="128" t="s">
        <v>1355</v>
      </c>
      <c r="K305" s="128"/>
      <c r="N305" s="288">
        <f>'2027 GSD Rate Class E-13c'!R307</f>
        <v>-0.59511107472164082</v>
      </c>
      <c r="O305" s="128" t="s">
        <v>1355</v>
      </c>
      <c r="Q305" s="125">
        <f>IF(I305=0,0,+(N305-I305)/I305)</f>
        <v>4.0259017710402724E-2</v>
      </c>
      <c r="R305" s="128"/>
      <c r="S305" s="128"/>
      <c r="T305" s="128"/>
    </row>
    <row r="306" spans="1:20" ht="14.1" customHeight="1" x14ac:dyDescent="0.2">
      <c r="A306" s="120">
        <v>6</v>
      </c>
      <c r="B306" s="276"/>
      <c r="C306" s="124"/>
      <c r="F306" s="337" t="s">
        <v>768</v>
      </c>
      <c r="I306" s="288">
        <f>'2027 GSD Rate Class E-13c'!K308</f>
        <v>-3.27356721594</v>
      </c>
      <c r="J306" s="128" t="s">
        <v>1355</v>
      </c>
      <c r="K306" s="128"/>
      <c r="N306" s="288">
        <f>'2027 GSD Rate Class E-13c'!R308</f>
        <v>-3.4053578164627223</v>
      </c>
      <c r="O306" s="128" t="s">
        <v>1355</v>
      </c>
      <c r="Q306" s="125">
        <f>IF(I306=0,0,+(N306-I306)/I306)</f>
        <v>4.0259017710402752E-2</v>
      </c>
      <c r="R306" s="128"/>
      <c r="S306" s="128"/>
      <c r="T306" s="128"/>
    </row>
    <row r="307" spans="1:20" ht="14.1" customHeight="1" x14ac:dyDescent="0.2">
      <c r="A307" s="120">
        <v>7</v>
      </c>
      <c r="B307" s="276"/>
      <c r="C307" s="124"/>
      <c r="F307" s="353" t="s">
        <v>1436</v>
      </c>
      <c r="H307" s="128"/>
      <c r="I307" s="288">
        <f>'2027 GSD Rate Class E-13c'!K309</f>
        <v>-0.57207970764000005</v>
      </c>
      <c r="J307" s="128" t="s">
        <v>1355</v>
      </c>
      <c r="K307" s="128"/>
      <c r="L307" s="128"/>
      <c r="M307" s="128"/>
      <c r="N307" s="288">
        <f>'2027 GSD Rate Class E-13c'!R309</f>
        <v>-0.59511107472164082</v>
      </c>
      <c r="O307" s="128" t="s">
        <v>1355</v>
      </c>
      <c r="Q307" s="125">
        <f>IF(I307=0,0,+(N307-I307)/I307)</f>
        <v>4.0259017710402724E-2</v>
      </c>
      <c r="R307" s="128"/>
      <c r="S307" s="128"/>
      <c r="T307" s="128"/>
    </row>
    <row r="308" spans="1:20" ht="14.1" customHeight="1" x14ac:dyDescent="0.2">
      <c r="A308" s="120">
        <v>8</v>
      </c>
      <c r="B308" s="276"/>
      <c r="C308" s="124"/>
      <c r="F308" s="353" t="s">
        <v>1437</v>
      </c>
      <c r="H308" s="128"/>
      <c r="I308" s="288">
        <f>'2027 GSD Rate Class E-13c'!K310</f>
        <v>-3.27356721594</v>
      </c>
      <c r="J308" s="128" t="s">
        <v>1355</v>
      </c>
      <c r="K308" s="128"/>
      <c r="L308" s="128"/>
      <c r="M308" s="128"/>
      <c r="N308" s="288">
        <f>'2027 GSD Rate Class E-13c'!R310</f>
        <v>-3.4053578164627223</v>
      </c>
      <c r="O308" s="128" t="s">
        <v>1355</v>
      </c>
      <c r="Q308" s="125">
        <f>IF(I308=0,0,+(N308-I308)/I308)</f>
        <v>4.0259017710402752E-2</v>
      </c>
      <c r="R308" s="128"/>
      <c r="S308" s="128"/>
      <c r="T308" s="128"/>
    </row>
    <row r="309" spans="1:20" ht="14.1" customHeight="1" x14ac:dyDescent="0.2">
      <c r="A309" s="120">
        <v>9</v>
      </c>
      <c r="B309" s="276"/>
      <c r="C309" s="124"/>
      <c r="F309" s="113" t="s">
        <v>1472</v>
      </c>
      <c r="Q309" s="141"/>
      <c r="R309" s="128"/>
      <c r="S309" s="128"/>
      <c r="T309" s="128"/>
    </row>
    <row r="310" spans="1:20" ht="14.1" customHeight="1" x14ac:dyDescent="0.2">
      <c r="A310" s="120">
        <v>10</v>
      </c>
      <c r="B310" s="276"/>
      <c r="C310" s="137"/>
      <c r="F310" s="337" t="s">
        <v>745</v>
      </c>
      <c r="I310" s="288">
        <f>'2027 GSD Rate Class E-13c'!K313</f>
        <v>-2.1823781439599998</v>
      </c>
      <c r="N310" s="288">
        <f>'2027 GSD Rate Class E-13c'!R313</f>
        <v>-2.2702385443084814</v>
      </c>
      <c r="Q310" s="141"/>
      <c r="R310" s="128"/>
      <c r="S310" s="128"/>
      <c r="T310" s="128"/>
    </row>
    <row r="311" spans="1:20" ht="14.1" customHeight="1" x14ac:dyDescent="0.2">
      <c r="A311" s="120">
        <v>11</v>
      </c>
      <c r="B311" s="276"/>
      <c r="C311" s="137"/>
      <c r="F311" s="337" t="s">
        <v>768</v>
      </c>
      <c r="I311" s="288">
        <f>'2027 GSD Rate Class E-13c'!K314</f>
        <v>-2.6591112336599996</v>
      </c>
      <c r="N311" s="288">
        <f>'2027 GSD Rate Class E-13c'!R314</f>
        <v>-2.7661644399098484</v>
      </c>
      <c r="Q311" s="141"/>
      <c r="R311" s="128"/>
      <c r="S311" s="128"/>
      <c r="T311" s="128"/>
    </row>
    <row r="312" spans="1:20" ht="14.1" customHeight="1" x14ac:dyDescent="0.2">
      <c r="A312" s="120">
        <v>12</v>
      </c>
      <c r="B312" s="276"/>
      <c r="C312" s="137"/>
      <c r="F312" s="337" t="s">
        <v>1473</v>
      </c>
      <c r="G312" s="124"/>
      <c r="H312" s="128"/>
      <c r="I312" s="288">
        <f>'2027 GSD Rate Class E-13c'!K315</f>
        <v>-2.1823781439599998</v>
      </c>
      <c r="J312" s="128" t="s">
        <v>1355</v>
      </c>
      <c r="K312" s="128"/>
      <c r="L312" s="128"/>
      <c r="M312" s="128"/>
      <c r="N312" s="288">
        <f>'2027 GSD Rate Class E-13c'!R315</f>
        <v>-2.2702385443084814</v>
      </c>
      <c r="O312" s="128" t="s">
        <v>1355</v>
      </c>
      <c r="Q312" s="125">
        <f>IF(I312=0,0,+(N312-I312)/I312)</f>
        <v>4.0259017710402752E-2</v>
      </c>
      <c r="R312" s="128"/>
      <c r="S312" s="128"/>
      <c r="T312" s="128"/>
    </row>
    <row r="313" spans="1:20" ht="14.1" customHeight="1" x14ac:dyDescent="0.2">
      <c r="A313" s="120">
        <v>13</v>
      </c>
      <c r="B313" s="276"/>
      <c r="C313" s="137"/>
      <c r="F313" s="354" t="s">
        <v>1474</v>
      </c>
      <c r="I313" s="288">
        <f>'2027 GSD Rate Class E-13c'!K316</f>
        <v>-2.6591112336599996</v>
      </c>
      <c r="J313" s="128" t="s">
        <v>1355</v>
      </c>
      <c r="K313" s="128"/>
      <c r="N313" s="288">
        <f>'2027 GSD Rate Class E-13c'!R316</f>
        <v>-2.7661644399098484</v>
      </c>
      <c r="O313" s="128" t="s">
        <v>1355</v>
      </c>
      <c r="Q313" s="142">
        <f>IF(I313=0,0,+(N313-I313)/I313)</f>
        <v>4.0259017710402745E-2</v>
      </c>
      <c r="R313" s="128"/>
      <c r="S313" s="128"/>
      <c r="T313" s="128"/>
    </row>
    <row r="314" spans="1:20" ht="14.1" customHeight="1" x14ac:dyDescent="0.2">
      <c r="A314" s="120">
        <v>14</v>
      </c>
      <c r="B314" s="276"/>
      <c r="C314" s="137"/>
      <c r="Q314" s="141"/>
      <c r="R314" s="128"/>
      <c r="S314" s="128"/>
      <c r="T314" s="128"/>
    </row>
    <row r="315" spans="1:20" ht="14.1" customHeight="1" x14ac:dyDescent="0.2">
      <c r="A315" s="120">
        <v>15</v>
      </c>
      <c r="B315" s="276"/>
      <c r="C315" s="137"/>
      <c r="E315" s="323" t="s">
        <v>1475</v>
      </c>
      <c r="G315" s="128"/>
      <c r="H315" s="128"/>
      <c r="Q315" s="141"/>
      <c r="R315" s="128"/>
      <c r="S315" s="128"/>
      <c r="T315" s="128"/>
    </row>
    <row r="316" spans="1:20" ht="14.1" customHeight="1" x14ac:dyDescent="0.2">
      <c r="A316" s="120">
        <v>16</v>
      </c>
      <c r="B316" s="276"/>
      <c r="C316" s="137"/>
      <c r="F316" s="113" t="s">
        <v>1476</v>
      </c>
      <c r="I316" s="288">
        <f>'2027 GSD Rate Class E-13c'!K344</f>
        <v>1.08059500332</v>
      </c>
      <c r="J316" s="128" t="s">
        <v>1355</v>
      </c>
      <c r="K316" s="128"/>
      <c r="L316" s="128"/>
      <c r="M316" s="128"/>
      <c r="N316" s="288">
        <f>'2027 GSD Rate Class E-13c'!R344</f>
        <v>1.1240986966964326</v>
      </c>
      <c r="O316" s="128" t="s">
        <v>1355</v>
      </c>
      <c r="Q316" s="125">
        <f>IF(I316=0,0,+(N316-I316)/I316)</f>
        <v>4.0259017710402717E-2</v>
      </c>
      <c r="R316" s="128"/>
      <c r="S316" s="128"/>
      <c r="T316" s="128"/>
    </row>
    <row r="317" spans="1:20" ht="14.1" customHeight="1" x14ac:dyDescent="0.2">
      <c r="A317" s="120">
        <v>17</v>
      </c>
      <c r="B317" s="276"/>
      <c r="C317" s="137"/>
      <c r="I317" s="288"/>
      <c r="J317" s="128"/>
      <c r="N317" s="288"/>
      <c r="O317" s="128"/>
      <c r="Q317" s="125"/>
      <c r="R317" s="128"/>
      <c r="S317" s="128"/>
      <c r="T317" s="128"/>
    </row>
    <row r="318" spans="1:20" ht="14.1" customHeight="1" x14ac:dyDescent="0.2">
      <c r="A318" s="120">
        <v>18</v>
      </c>
      <c r="B318" s="276"/>
      <c r="C318" s="137"/>
      <c r="Q318" s="141"/>
      <c r="R318" s="128"/>
      <c r="S318" s="128"/>
      <c r="T318" s="128"/>
    </row>
    <row r="319" spans="1:20" ht="14.1" customHeight="1" x14ac:dyDescent="0.2">
      <c r="A319" s="120">
        <v>19</v>
      </c>
      <c r="B319" s="276"/>
      <c r="C319" s="137"/>
      <c r="E319" s="113" t="s">
        <v>1477</v>
      </c>
      <c r="I319" s="355">
        <f>'2027 GSD Rate Class E-13c'!K290</f>
        <v>2.15059593798E-3</v>
      </c>
      <c r="J319" s="113" t="s">
        <v>1478</v>
      </c>
      <c r="L319" s="128"/>
      <c r="M319" s="128"/>
      <c r="N319" s="355">
        <f>'2027 GSD Rate Class E-13c'!R290</f>
        <v>2.2371768179350569E-3</v>
      </c>
      <c r="O319" s="113" t="s">
        <v>1478</v>
      </c>
      <c r="Q319" s="125">
        <f>IF(I319=0,0,+(N319-I319)/I319)</f>
        <v>4.0259017710402689E-2</v>
      </c>
      <c r="R319" s="128"/>
      <c r="S319" s="128"/>
      <c r="T319" s="128"/>
    </row>
    <row r="320" spans="1:20" ht="14.1" customHeight="1" x14ac:dyDescent="0.2">
      <c r="A320" s="120">
        <v>20</v>
      </c>
      <c r="B320" s="276"/>
      <c r="C320" s="137"/>
      <c r="Q320" s="364"/>
      <c r="R320" s="128"/>
      <c r="S320" s="128"/>
      <c r="T320" s="128"/>
    </row>
    <row r="321" spans="1:20" ht="14.1" customHeight="1" x14ac:dyDescent="0.2">
      <c r="A321" s="120">
        <v>21</v>
      </c>
      <c r="B321" s="276"/>
      <c r="C321" s="137"/>
      <c r="E321" s="113" t="s">
        <v>1479</v>
      </c>
      <c r="F321" s="124"/>
      <c r="G321" s="128"/>
      <c r="H321" s="128"/>
      <c r="I321" s="355">
        <f>'2027 GSD Rate Class E-13c'!K298</f>
        <v>-1.08059500332E-3</v>
      </c>
      <c r="J321" s="113" t="s">
        <v>1478</v>
      </c>
      <c r="L321" s="128"/>
      <c r="M321" s="128"/>
      <c r="N321" s="355">
        <f>'2027 GSD Rate Class E-13c'!R298</f>
        <v>-1.1240986966964326E-3</v>
      </c>
      <c r="O321" s="113" t="s">
        <v>1478</v>
      </c>
      <c r="Q321" s="125">
        <f>IF(I321=0,0,+(N321-I321)/I321)</f>
        <v>4.0259017710402675E-2</v>
      </c>
      <c r="R321" s="128"/>
      <c r="S321" s="128"/>
      <c r="T321" s="128"/>
    </row>
    <row r="322" spans="1:20" ht="14.1" customHeight="1" x14ac:dyDescent="0.2">
      <c r="A322" s="120">
        <v>22</v>
      </c>
      <c r="B322" s="276"/>
      <c r="C322" s="137"/>
      <c r="Q322" s="141"/>
      <c r="R322" s="128"/>
      <c r="S322" s="128"/>
      <c r="T322" s="128"/>
    </row>
    <row r="323" spans="1:20" ht="14.1" customHeight="1" x14ac:dyDescent="0.2">
      <c r="A323" s="120">
        <v>23</v>
      </c>
      <c r="B323" s="276"/>
      <c r="C323" s="137"/>
      <c r="E323" s="342" t="s">
        <v>811</v>
      </c>
      <c r="H323" s="128"/>
      <c r="I323" s="288"/>
      <c r="J323" s="128"/>
      <c r="K323" s="128"/>
      <c r="L323" s="128"/>
      <c r="M323" s="128"/>
      <c r="N323" s="288"/>
      <c r="O323" s="128"/>
      <c r="Q323" s="364"/>
      <c r="R323" s="128"/>
      <c r="S323" s="128"/>
      <c r="T323" s="128"/>
    </row>
    <row r="324" spans="1:20" ht="14.1" customHeight="1" x14ac:dyDescent="0.2">
      <c r="A324" s="120">
        <v>24</v>
      </c>
      <c r="B324" s="276"/>
      <c r="C324" s="137"/>
      <c r="F324" s="113" t="s">
        <v>1480</v>
      </c>
      <c r="G324" s="137"/>
      <c r="H324" s="128"/>
      <c r="Q324" s="141"/>
      <c r="R324" s="128"/>
      <c r="S324" s="128"/>
      <c r="T324" s="128"/>
    </row>
    <row r="325" spans="1:20" ht="14.1" customHeight="1" x14ac:dyDescent="0.2">
      <c r="A325" s="120">
        <v>25</v>
      </c>
      <c r="B325" s="276"/>
      <c r="C325" s="137"/>
      <c r="F325" s="337" t="s">
        <v>745</v>
      </c>
      <c r="G325" s="137"/>
      <c r="H325" s="128"/>
      <c r="I325" s="356">
        <f>+'2027 GSD Rate Class E-13c'!K353*100</f>
        <v>-1</v>
      </c>
      <c r="J325" s="128" t="s">
        <v>1450</v>
      </c>
      <c r="K325" s="128"/>
      <c r="L325" s="128"/>
      <c r="M325" s="128"/>
      <c r="N325" s="356">
        <f>+'2027 GSD Rate Class E-13c'!R353*100</f>
        <v>-1</v>
      </c>
      <c r="O325" s="128" t="s">
        <v>1450</v>
      </c>
      <c r="Q325" s="125">
        <f>IF(I325=0,0,+(N325-I325)/I325)</f>
        <v>0</v>
      </c>
      <c r="R325" s="128"/>
      <c r="S325" s="128"/>
      <c r="T325" s="128"/>
    </row>
    <row r="326" spans="1:20" ht="14.1" customHeight="1" x14ac:dyDescent="0.2">
      <c r="A326" s="120">
        <v>26</v>
      </c>
      <c r="B326" s="276"/>
      <c r="C326" s="137"/>
      <c r="F326" s="337" t="s">
        <v>768</v>
      </c>
      <c r="I326" s="356">
        <f>+'2027 GSD Rate Class E-13c'!K354*100</f>
        <v>-2</v>
      </c>
      <c r="J326" s="128" t="s">
        <v>1450</v>
      </c>
      <c r="K326" s="128"/>
      <c r="L326" s="128"/>
      <c r="M326" s="128"/>
      <c r="N326" s="356">
        <f>+'2027 GSD Rate Class E-13c'!R354*100</f>
        <v>-2</v>
      </c>
      <c r="O326" s="128" t="s">
        <v>1450</v>
      </c>
      <c r="Q326" s="125">
        <f>IF(I326=0,0,+(N326-I326)/I326)</f>
        <v>0</v>
      </c>
      <c r="R326" s="128"/>
      <c r="S326" s="128"/>
      <c r="T326" s="128"/>
    </row>
    <row r="327" spans="1:20" ht="14.1" customHeight="1" x14ac:dyDescent="0.2">
      <c r="A327" s="120">
        <v>27</v>
      </c>
      <c r="B327" s="276"/>
      <c r="C327" s="137"/>
      <c r="F327" s="353" t="s">
        <v>1436</v>
      </c>
      <c r="I327" s="356">
        <f>+'2027 GSD Rate Class E-13c'!K355*100</f>
        <v>-1</v>
      </c>
      <c r="J327" s="128" t="s">
        <v>1450</v>
      </c>
      <c r="K327" s="128"/>
      <c r="N327" s="356">
        <f>+'2027 GSD Rate Class E-13c'!R355*100</f>
        <v>-1</v>
      </c>
      <c r="O327" s="128" t="s">
        <v>1450</v>
      </c>
      <c r="Q327" s="125">
        <f>IF(I327=0,0,+(N327-I327)/I327)</f>
        <v>0</v>
      </c>
      <c r="R327" s="128"/>
      <c r="S327" s="128"/>
      <c r="T327" s="128"/>
    </row>
    <row r="328" spans="1:20" ht="14.1" customHeight="1" x14ac:dyDescent="0.2">
      <c r="A328" s="120">
        <v>28</v>
      </c>
      <c r="B328" s="276"/>
      <c r="C328" s="137"/>
      <c r="F328" s="353" t="s">
        <v>1437</v>
      </c>
      <c r="I328" s="356">
        <f>+'2027 GSD Rate Class E-13c'!K356*100</f>
        <v>-2</v>
      </c>
      <c r="J328" s="128" t="s">
        <v>1450</v>
      </c>
      <c r="K328" s="128"/>
      <c r="N328" s="356">
        <f>+'2027 GSD Rate Class E-13c'!R356*100</f>
        <v>-2</v>
      </c>
      <c r="O328" s="128" t="s">
        <v>1450</v>
      </c>
      <c r="Q328" s="125">
        <f>IF(I328=0,0,+(N328-I328)/I328)</f>
        <v>0</v>
      </c>
      <c r="R328" s="128"/>
      <c r="S328" s="128"/>
      <c r="T328" s="128"/>
    </row>
    <row r="329" spans="1:20" ht="14.1" customHeight="1" x14ac:dyDescent="0.2">
      <c r="A329" s="120">
        <v>29</v>
      </c>
      <c r="B329" s="276"/>
      <c r="C329" s="137"/>
      <c r="R329" s="128"/>
      <c r="S329" s="128"/>
      <c r="T329" s="128"/>
    </row>
    <row r="330" spans="1:20" ht="14.1" customHeight="1" x14ac:dyDescent="0.2">
      <c r="A330" s="120">
        <v>30</v>
      </c>
      <c r="B330" s="276"/>
      <c r="C330" s="137"/>
      <c r="R330" s="128"/>
      <c r="S330" s="128"/>
      <c r="T330" s="128"/>
    </row>
    <row r="331" spans="1:20" ht="14.1" customHeight="1" x14ac:dyDescent="0.2">
      <c r="A331" s="120">
        <v>31</v>
      </c>
      <c r="B331" s="276"/>
      <c r="C331" s="137"/>
      <c r="R331" s="128"/>
      <c r="S331" s="128"/>
      <c r="T331" s="128"/>
    </row>
    <row r="332" spans="1:20" ht="14.1" customHeight="1" x14ac:dyDescent="0.2">
      <c r="A332" s="120">
        <v>32</v>
      </c>
      <c r="B332" s="276"/>
      <c r="C332" s="137"/>
      <c r="R332" s="128"/>
      <c r="S332" s="128"/>
      <c r="T332" s="128"/>
    </row>
    <row r="333" spans="1:20" ht="14.1" customHeight="1" x14ac:dyDescent="0.2">
      <c r="A333" s="120">
        <v>33</v>
      </c>
      <c r="B333" s="276"/>
      <c r="C333" s="137"/>
      <c r="L333" s="128"/>
      <c r="M333" s="128"/>
      <c r="Q333" s="128"/>
      <c r="R333" s="128"/>
      <c r="S333" s="128"/>
      <c r="T333" s="128"/>
    </row>
    <row r="334" spans="1:20" ht="14.1" customHeight="1" x14ac:dyDescent="0.2">
      <c r="A334" s="120">
        <v>34</v>
      </c>
      <c r="B334" s="276"/>
      <c r="C334" s="137"/>
      <c r="E334" s="323"/>
      <c r="G334" s="128"/>
      <c r="H334" s="128"/>
      <c r="I334" s="288"/>
      <c r="J334" s="128"/>
      <c r="K334" s="128"/>
      <c r="L334" s="128"/>
      <c r="M334" s="128"/>
      <c r="N334" s="288"/>
      <c r="O334" s="128"/>
      <c r="Q334" s="127"/>
      <c r="R334" s="128"/>
      <c r="S334" s="128"/>
      <c r="T334" s="128"/>
    </row>
    <row r="335" spans="1:20" ht="14.1" customHeight="1" x14ac:dyDescent="0.2">
      <c r="A335" s="120">
        <v>35</v>
      </c>
      <c r="B335" s="276"/>
      <c r="C335" s="137"/>
      <c r="L335" s="128"/>
      <c r="M335" s="128"/>
      <c r="Q335" s="128"/>
      <c r="R335" s="128"/>
      <c r="S335" s="128"/>
      <c r="T335" s="128"/>
    </row>
    <row r="336" spans="1:20" ht="14.1" customHeight="1" thickBot="1" x14ac:dyDescent="0.25">
      <c r="A336" s="118">
        <v>36</v>
      </c>
      <c r="B336" s="343"/>
      <c r="C336" s="344"/>
      <c r="D336" s="114"/>
      <c r="E336" s="114"/>
      <c r="F336" s="114"/>
      <c r="G336" s="114"/>
      <c r="H336" s="114"/>
      <c r="I336" s="357"/>
      <c r="J336" s="114"/>
      <c r="K336" s="114"/>
      <c r="L336" s="346"/>
      <c r="M336" s="346"/>
      <c r="N336" s="357"/>
      <c r="O336" s="114"/>
      <c r="P336" s="114"/>
      <c r="Q336" s="350"/>
      <c r="R336" s="346"/>
      <c r="S336" s="346"/>
      <c r="T336" s="346"/>
    </row>
    <row r="337" spans="1:20" ht="14.1" customHeight="1" x14ac:dyDescent="0.2">
      <c r="A337" s="113" t="str">
        <f>+$A$49</f>
        <v>Supporting Schedules:  E-7, E-14 Supplement</v>
      </c>
      <c r="R337" s="113" t="s">
        <v>1369</v>
      </c>
    </row>
    <row r="338" spans="1:20" ht="14.1" customHeight="1" thickBot="1" x14ac:dyDescent="0.25">
      <c r="A338" s="114" t="str">
        <f>+$A$2</f>
        <v>SCHEDULE A-3</v>
      </c>
      <c r="B338" s="114"/>
      <c r="C338" s="114"/>
      <c r="D338" s="114"/>
      <c r="E338" s="114"/>
      <c r="F338" s="114"/>
      <c r="G338" s="114"/>
      <c r="H338" s="114"/>
      <c r="I338" s="114" t="str">
        <f>+$I$2</f>
        <v>SUMMARY OF TARIFFS</v>
      </c>
      <c r="J338" s="114"/>
      <c r="K338" s="114"/>
      <c r="L338" s="114"/>
      <c r="M338" s="114"/>
      <c r="N338" s="114"/>
      <c r="O338" s="114"/>
      <c r="P338" s="114"/>
      <c r="Q338" s="114"/>
      <c r="R338" s="114"/>
      <c r="S338" s="114"/>
      <c r="T338" s="263" t="s">
        <v>1481</v>
      </c>
    </row>
    <row r="339" spans="1:20" ht="14.1" customHeight="1" x14ac:dyDescent="0.2">
      <c r="A339" s="113" t="s">
        <v>307</v>
      </c>
      <c r="F339" s="117" t="s">
        <v>1405</v>
      </c>
      <c r="G339" s="113" t="s">
        <v>1406</v>
      </c>
      <c r="L339" s="115"/>
      <c r="M339" s="115"/>
      <c r="O339" s="115"/>
      <c r="P339" s="115"/>
      <c r="Q339" s="115" t="s">
        <v>845</v>
      </c>
      <c r="T339" s="116"/>
    </row>
    <row r="340" spans="1:20" ht="14.1" customHeight="1" x14ac:dyDescent="0.2">
      <c r="G340" s="113" t="s">
        <v>1407</v>
      </c>
      <c r="L340" s="117"/>
      <c r="M340" s="116"/>
      <c r="P340" s="117"/>
      <c r="Q340" s="11" t="s">
        <v>916</v>
      </c>
      <c r="R340" s="10" t="s">
        <v>1512</v>
      </c>
      <c r="T340" s="117"/>
    </row>
    <row r="341" spans="1:20" ht="14.1" customHeight="1" x14ac:dyDescent="0.2">
      <c r="A341" s="113" t="s">
        <v>310</v>
      </c>
      <c r="L341" s="117"/>
      <c r="M341" s="116"/>
      <c r="N341" s="117"/>
      <c r="Q341" s="11"/>
      <c r="R341" s="10"/>
      <c r="T341" s="117"/>
    </row>
    <row r="342" spans="1:20" ht="14.1" customHeight="1" x14ac:dyDescent="0.2">
      <c r="L342" s="117"/>
      <c r="M342" s="116"/>
      <c r="N342" s="117"/>
      <c r="Q342" s="11"/>
      <c r="R342" s="10"/>
      <c r="T342" s="117"/>
    </row>
    <row r="343" spans="1:20" ht="14.1" customHeight="1" thickBot="1" x14ac:dyDescent="0.25">
      <c r="A343" s="114" t="s">
        <v>1520</v>
      </c>
      <c r="B343" s="114"/>
      <c r="C343" s="114"/>
      <c r="D343" s="114"/>
      <c r="E343" s="114"/>
      <c r="F343" s="114"/>
      <c r="G343" s="114"/>
      <c r="H343" s="114"/>
      <c r="I343" s="118"/>
      <c r="J343" s="114"/>
      <c r="K343" s="114"/>
      <c r="L343" s="114"/>
      <c r="M343" s="114"/>
      <c r="N343" s="114"/>
      <c r="O343" s="114"/>
      <c r="P343" s="114"/>
      <c r="Q343" s="114"/>
      <c r="R343" s="114" t="s">
        <v>1519</v>
      </c>
      <c r="S343" s="114"/>
      <c r="T343" s="114"/>
    </row>
    <row r="344" spans="1:20" ht="14.1" customHeight="1" x14ac:dyDescent="0.2">
      <c r="A344" s="113" t="str">
        <f>IF(+A$8="","",A$8)</f>
        <v/>
      </c>
      <c r="B344" s="120" t="str">
        <f t="shared" ref="B344:T344" si="34">IF(+B$8="","",B$8)</f>
        <v/>
      </c>
      <c r="C344" s="120" t="str">
        <f t="shared" si="34"/>
        <v>(1)</v>
      </c>
      <c r="D344" s="120" t="str">
        <f t="shared" si="34"/>
        <v/>
      </c>
      <c r="E344" s="120" t="str">
        <f t="shared" si="34"/>
        <v/>
      </c>
      <c r="F344" s="120" t="str">
        <f t="shared" si="34"/>
        <v>(2)</v>
      </c>
      <c r="G344" s="120" t="str">
        <f t="shared" si="34"/>
        <v/>
      </c>
      <c r="H344" s="120" t="str">
        <f>IF(+H$8="","",H$8)</f>
        <v/>
      </c>
      <c r="I344" s="120" t="str">
        <f>IF(+I$8="","",I$8)</f>
        <v>(3)</v>
      </c>
      <c r="J344" s="120" t="str">
        <f>IF(+J$8="","",J$8)</f>
        <v/>
      </c>
      <c r="K344" s="120"/>
      <c r="L344" s="120" t="str">
        <f t="shared" si="34"/>
        <v>(4)</v>
      </c>
      <c r="M344" s="120" t="str">
        <f t="shared" si="34"/>
        <v/>
      </c>
      <c r="N344" s="120" t="str">
        <f t="shared" si="34"/>
        <v>(5)</v>
      </c>
      <c r="O344" s="120" t="str">
        <f t="shared" si="34"/>
        <v/>
      </c>
      <c r="Q344" s="120" t="str">
        <f>IF(+Q$8="","",Q$8)</f>
        <v>(6)</v>
      </c>
      <c r="R344" s="120" t="str">
        <f t="shared" si="34"/>
        <v/>
      </c>
      <c r="S344" s="120" t="str">
        <f t="shared" si="34"/>
        <v/>
      </c>
      <c r="T344" s="120" t="str">
        <f t="shared" si="34"/>
        <v/>
      </c>
    </row>
    <row r="345" spans="1:20" ht="14.1" customHeight="1" x14ac:dyDescent="0.2">
      <c r="A345" s="113" t="str">
        <f>IF(+A$9="","",A$9)</f>
        <v/>
      </c>
      <c r="B345" s="120" t="str">
        <f t="shared" ref="B345:T345" si="35">IF(+B$9="","",B$9)</f>
        <v/>
      </c>
      <c r="C345" s="120" t="str">
        <f t="shared" si="35"/>
        <v/>
      </c>
      <c r="D345" s="120" t="str">
        <f t="shared" si="35"/>
        <v/>
      </c>
      <c r="E345" s="120" t="str">
        <f t="shared" si="35"/>
        <v/>
      </c>
      <c r="F345" s="120" t="str">
        <f t="shared" si="35"/>
        <v/>
      </c>
      <c r="G345" s="120" t="str">
        <f t="shared" si="35"/>
        <v/>
      </c>
      <c r="H345" s="120" t="str">
        <f>IF(+H$9="","",H$9)</f>
        <v/>
      </c>
      <c r="I345" s="120" t="str">
        <f>IF(+I$9="","",I$9)</f>
        <v/>
      </c>
      <c r="J345" s="120" t="str">
        <f>IF(+J$9="","",J$9)</f>
        <v/>
      </c>
      <c r="K345" s="120"/>
      <c r="L345" s="120" t="str">
        <f t="shared" si="35"/>
        <v/>
      </c>
      <c r="M345" s="120" t="str">
        <f t="shared" si="35"/>
        <v/>
      </c>
      <c r="N345" s="120" t="str">
        <f t="shared" si="35"/>
        <v/>
      </c>
      <c r="O345" s="120" t="str">
        <f t="shared" si="35"/>
        <v/>
      </c>
      <c r="Q345" s="120" t="str">
        <f>IF(+Q$9="","",Q$9)</f>
        <v/>
      </c>
      <c r="R345" s="120" t="str">
        <f t="shared" si="35"/>
        <v/>
      </c>
      <c r="S345" s="120" t="str">
        <f t="shared" si="35"/>
        <v/>
      </c>
      <c r="T345" s="120" t="str">
        <f t="shared" si="35"/>
        <v/>
      </c>
    </row>
    <row r="346" spans="1:20" ht="14.1" customHeight="1" x14ac:dyDescent="0.2">
      <c r="A346" s="113" t="str">
        <f>IF(+A$10="","",A$10)</f>
        <v/>
      </c>
      <c r="B346" s="120" t="str">
        <f t="shared" ref="B346:T346" si="36">IF(+B$10="","",B$10)</f>
        <v/>
      </c>
      <c r="C346" s="120" t="str">
        <f t="shared" si="36"/>
        <v xml:space="preserve">Current </v>
      </c>
      <c r="D346" s="120" t="str">
        <f t="shared" si="36"/>
        <v/>
      </c>
      <c r="E346" s="120" t="str">
        <f t="shared" si="36"/>
        <v/>
      </c>
      <c r="F346" s="120" t="str">
        <f t="shared" si="36"/>
        <v/>
      </c>
      <c r="G346" s="120" t="str">
        <f t="shared" si="36"/>
        <v/>
      </c>
      <c r="H346" s="120" t="str">
        <f>IF(+H$10="","",H$10)</f>
        <v/>
      </c>
      <c r="I346" s="120" t="str">
        <f>IF(+I$10="","",I$10)</f>
        <v/>
      </c>
      <c r="J346" s="120" t="str">
        <f>IF(+J$10="","",J$10)</f>
        <v/>
      </c>
      <c r="K346" s="120"/>
      <c r="L346" s="120" t="str">
        <f t="shared" si="36"/>
        <v>Proposed</v>
      </c>
      <c r="M346" s="120" t="str">
        <f t="shared" si="36"/>
        <v/>
      </c>
      <c r="N346" s="120" t="str">
        <f t="shared" si="36"/>
        <v/>
      </c>
      <c r="O346" s="120" t="str">
        <f t="shared" si="36"/>
        <v/>
      </c>
      <c r="Q346" s="120" t="str">
        <f>IF(+Q$10="","",Q$10)</f>
        <v>Percent</v>
      </c>
      <c r="R346" s="120" t="str">
        <f t="shared" si="36"/>
        <v/>
      </c>
      <c r="S346" s="120" t="str">
        <f t="shared" si="36"/>
        <v/>
      </c>
      <c r="T346" s="120" t="str">
        <f t="shared" si="36"/>
        <v/>
      </c>
    </row>
    <row r="347" spans="1:20" ht="14.1" customHeight="1" x14ac:dyDescent="0.2">
      <c r="A347" s="120" t="str">
        <f>IF(+A$11="","",A$11)</f>
        <v>Line</v>
      </c>
      <c r="B347" s="120" t="str">
        <f t="shared" ref="B347:T347" si="37">IF(+B$11="","",B$11)</f>
        <v/>
      </c>
      <c r="C347" s="120" t="str">
        <f t="shared" si="37"/>
        <v>Rate</v>
      </c>
      <c r="D347" s="120" t="str">
        <f t="shared" si="37"/>
        <v/>
      </c>
      <c r="E347" s="120" t="str">
        <f t="shared" si="37"/>
        <v/>
      </c>
      <c r="F347" s="120" t="str">
        <f t="shared" si="37"/>
        <v/>
      </c>
      <c r="G347" s="120" t="str">
        <f t="shared" si="37"/>
        <v/>
      </c>
      <c r="H347" s="120" t="str">
        <f>IF(+H$11="","",H$11)</f>
        <v/>
      </c>
      <c r="I347" s="120" t="str">
        <f>IF(+I$11="","",I$11)</f>
        <v>Current</v>
      </c>
      <c r="J347" s="120" t="str">
        <f>IF(+J$11="","",J$11)</f>
        <v/>
      </c>
      <c r="K347" s="120"/>
      <c r="L347" s="120" t="str">
        <f t="shared" si="37"/>
        <v>Rate</v>
      </c>
      <c r="M347" s="120" t="str">
        <f t="shared" si="37"/>
        <v/>
      </c>
      <c r="N347" s="120" t="str">
        <f t="shared" si="37"/>
        <v>Proposed</v>
      </c>
      <c r="O347" s="120" t="str">
        <f t="shared" si="37"/>
        <v/>
      </c>
      <c r="Q347" s="120" t="str">
        <f>IF(+Q$11="","",Q$11)</f>
        <v>Increase</v>
      </c>
      <c r="R347" s="120" t="str">
        <f t="shared" si="37"/>
        <v/>
      </c>
      <c r="S347" s="120" t="str">
        <f t="shared" si="37"/>
        <v/>
      </c>
      <c r="T347" s="120" t="str">
        <f t="shared" si="37"/>
        <v/>
      </c>
    </row>
    <row r="348" spans="1:20" ht="14.1" customHeight="1" thickBot="1" x14ac:dyDescent="0.25">
      <c r="A348" s="118" t="str">
        <f>IF(+A$12="","",A$12)</f>
        <v>No.</v>
      </c>
      <c r="B348" s="118" t="str">
        <f t="shared" ref="B348:T348" si="38">IF(+B$12="","",B$12)</f>
        <v/>
      </c>
      <c r="C348" s="118" t="str">
        <f t="shared" si="38"/>
        <v>Schedule</v>
      </c>
      <c r="D348" s="118" t="str">
        <f t="shared" si="38"/>
        <v/>
      </c>
      <c r="E348" s="118"/>
      <c r="F348" s="118" t="str">
        <f t="shared" si="38"/>
        <v>Type of Charge</v>
      </c>
      <c r="G348" s="118"/>
      <c r="H348" s="118" t="str">
        <f>IF(+H$12="","",H$12)</f>
        <v/>
      </c>
      <c r="I348" s="118" t="str">
        <f>IF(+I$12="","",I$12)</f>
        <v>Rate</v>
      </c>
      <c r="J348" s="118" t="str">
        <f>IF(+J$12="","",J$12)</f>
        <v/>
      </c>
      <c r="K348" s="118"/>
      <c r="L348" s="118" t="str">
        <f t="shared" si="38"/>
        <v>Schedule</v>
      </c>
      <c r="M348" s="118" t="str">
        <f t="shared" si="38"/>
        <v/>
      </c>
      <c r="N348" s="118" t="str">
        <f t="shared" si="38"/>
        <v>Rate</v>
      </c>
      <c r="O348" s="118" t="str">
        <f t="shared" si="38"/>
        <v/>
      </c>
      <c r="P348" s="114"/>
      <c r="Q348" s="118" t="str">
        <f>IF(+Q$12="","",Q$12)</f>
        <v>((5)-(3))/(3)</v>
      </c>
      <c r="R348" s="118" t="str">
        <f t="shared" si="38"/>
        <v/>
      </c>
      <c r="S348" s="118" t="str">
        <f t="shared" si="38"/>
        <v/>
      </c>
      <c r="T348" s="118" t="str">
        <f t="shared" si="38"/>
        <v/>
      </c>
    </row>
    <row r="349" spans="1:20" ht="14.1" customHeight="1" x14ac:dyDescent="0.2">
      <c r="A349" s="120">
        <v>1</v>
      </c>
      <c r="B349" s="340"/>
      <c r="C349" s="305" t="s">
        <v>447</v>
      </c>
      <c r="D349" s="137"/>
      <c r="E349" s="330" t="s">
        <v>326</v>
      </c>
      <c r="G349" s="124"/>
      <c r="H349" s="137"/>
      <c r="J349" s="137"/>
      <c r="K349" s="137"/>
      <c r="L349" s="305" t="s">
        <v>447</v>
      </c>
      <c r="M349" s="137"/>
      <c r="N349" s="137"/>
      <c r="O349" s="137"/>
      <c r="Q349" s="137"/>
      <c r="R349" s="137"/>
      <c r="S349" s="137"/>
      <c r="T349" s="137"/>
    </row>
    <row r="350" spans="1:20" ht="14.1" customHeight="1" x14ac:dyDescent="0.2">
      <c r="A350" s="120">
        <v>2</v>
      </c>
      <c r="B350" s="276"/>
      <c r="F350" s="147" t="s">
        <v>745</v>
      </c>
      <c r="G350" s="124"/>
      <c r="H350" s="137"/>
      <c r="I350" s="288">
        <f>'2027 GSLDPR Rate Class E-13c'!J18</f>
        <v>22.689853641000003</v>
      </c>
      <c r="J350" s="137" t="s">
        <v>1414</v>
      </c>
      <c r="K350" s="137"/>
      <c r="L350" s="137"/>
      <c r="M350" s="137"/>
      <c r="N350" s="288">
        <f>'2027 GSLDPR Rate Class E-13c'!Q18</f>
        <v>23.601534796527087</v>
      </c>
      <c r="O350" s="137" t="s">
        <v>1414</v>
      </c>
      <c r="Q350" s="125">
        <f>IF(I350=0,0,+(N350-I350)/I350)</f>
        <v>4.0180124999999955E-2</v>
      </c>
      <c r="R350" s="137"/>
      <c r="S350" s="137"/>
      <c r="T350" s="137"/>
    </row>
    <row r="351" spans="1:20" ht="14.1" customHeight="1" x14ac:dyDescent="0.2">
      <c r="A351" s="120">
        <v>3</v>
      </c>
      <c r="B351" s="276"/>
      <c r="F351" s="113" t="s">
        <v>1436</v>
      </c>
      <c r="H351" s="128"/>
      <c r="I351" s="288">
        <f>'2027 GSLDPR Rate Class E-13c'!J19</f>
        <v>22.689853641000003</v>
      </c>
      <c r="J351" s="137" t="s">
        <v>1414</v>
      </c>
      <c r="K351" s="137"/>
      <c r="L351" s="128"/>
      <c r="M351" s="122"/>
      <c r="N351" s="288">
        <f>'2027 GSLDPR Rate Class E-13c'!Q19</f>
        <v>23.601534796527087</v>
      </c>
      <c r="O351" s="137" t="s">
        <v>1414</v>
      </c>
      <c r="Q351" s="125">
        <f>IF(I351=0,0,+(N351-I351)/I351)</f>
        <v>4.0180124999999955E-2</v>
      </c>
      <c r="R351" s="128"/>
      <c r="S351" s="128"/>
      <c r="T351" s="128"/>
    </row>
    <row r="352" spans="1:20" ht="14.1" customHeight="1" x14ac:dyDescent="0.2">
      <c r="A352" s="120">
        <v>4</v>
      </c>
      <c r="B352" s="276"/>
      <c r="C352" s="124"/>
      <c r="I352" s="288"/>
      <c r="N352" s="288"/>
      <c r="Q352" s="141"/>
      <c r="R352" s="128"/>
      <c r="S352" s="128"/>
      <c r="T352" s="128"/>
    </row>
    <row r="353" spans="1:20" ht="14.1" customHeight="1" x14ac:dyDescent="0.2">
      <c r="A353" s="120">
        <v>5</v>
      </c>
      <c r="B353" s="276"/>
      <c r="C353" s="124"/>
      <c r="E353" s="342" t="s">
        <v>342</v>
      </c>
      <c r="G353" s="124"/>
      <c r="H353" s="128"/>
      <c r="I353" s="288"/>
      <c r="J353" s="122"/>
      <c r="K353" s="122"/>
      <c r="L353" s="128"/>
      <c r="M353" s="122"/>
      <c r="N353" s="288"/>
      <c r="O353" s="122"/>
      <c r="Q353" s="364"/>
      <c r="R353" s="128"/>
      <c r="S353" s="128"/>
      <c r="T353" s="128"/>
    </row>
    <row r="354" spans="1:20" ht="14.1" customHeight="1" x14ac:dyDescent="0.2">
      <c r="A354" s="120">
        <v>6</v>
      </c>
      <c r="B354" s="276"/>
      <c r="C354" s="124"/>
      <c r="F354" s="147" t="s">
        <v>745</v>
      </c>
      <c r="H354" s="128"/>
      <c r="I354" s="338">
        <f>'2027 GSLDPR Rate Class E-13c'!J23</f>
        <v>1.1258489282820002E-2</v>
      </c>
      <c r="J354" s="334" t="s">
        <v>1418</v>
      </c>
      <c r="K354" s="128"/>
      <c r="L354" s="128"/>
      <c r="M354" s="122"/>
      <c r="N354" s="338">
        <f>'2027 GSLDPR Rate Class E-13c'!Q23</f>
        <v>1.1710856789514871E-2</v>
      </c>
      <c r="O354" s="334" t="s">
        <v>1418</v>
      </c>
      <c r="Q354" s="125">
        <f t="shared" ref="Q354:Q357" si="39">IF(I354=0,0,+(N354-I354)/I354)</f>
        <v>4.0180125000000066E-2</v>
      </c>
      <c r="R354" s="128"/>
      <c r="S354" s="128"/>
      <c r="T354" s="128"/>
    </row>
    <row r="355" spans="1:20" ht="14.1" customHeight="1" x14ac:dyDescent="0.2">
      <c r="A355" s="120">
        <v>7</v>
      </c>
      <c r="B355" s="276"/>
      <c r="C355" s="137"/>
      <c r="F355" s="113" t="s">
        <v>1482</v>
      </c>
      <c r="G355" s="124"/>
      <c r="H355" s="128"/>
      <c r="I355" s="338">
        <f>+'2027 GSLDPR Rate Class E-13c'!J24</f>
        <v>1.8357172064790001E-2</v>
      </c>
      <c r="J355" s="334" t="s">
        <v>1418</v>
      </c>
      <c r="K355" s="128"/>
      <c r="L355" s="128"/>
      <c r="M355" s="128"/>
      <c r="N355" s="338">
        <f>+'2027 GSLDPR Rate Class E-13c'!Q24</f>
        <v>1.9094765532999772E-2</v>
      </c>
      <c r="O355" s="334" t="s">
        <v>1418</v>
      </c>
      <c r="Q355" s="125">
        <f t="shared" si="39"/>
        <v>4.0180125000000046E-2</v>
      </c>
      <c r="R355" s="128"/>
      <c r="S355" s="128"/>
      <c r="T355" s="128"/>
    </row>
    <row r="356" spans="1:20" ht="14.1" customHeight="1" x14ac:dyDescent="0.2">
      <c r="A356" s="120">
        <v>8</v>
      </c>
      <c r="B356" s="276"/>
      <c r="C356" s="137"/>
      <c r="F356" s="113" t="s">
        <v>1483</v>
      </c>
      <c r="I356" s="338">
        <f>'2027 GSLDPR Rate Class E-13c'!J25</f>
        <v>1.1185822431290003E-2</v>
      </c>
      <c r="J356" s="334" t="s">
        <v>1418</v>
      </c>
      <c r="K356" s="128"/>
      <c r="N356" s="338">
        <f>'2027 GSLDPR Rate Class E-13c'!Q25</f>
        <v>1.163527017480704E-2</v>
      </c>
      <c r="O356" s="334" t="s">
        <v>1418</v>
      </c>
      <c r="Q356" s="125">
        <f t="shared" si="39"/>
        <v>4.0180125000000025E-2</v>
      </c>
      <c r="R356" s="128"/>
      <c r="S356" s="128"/>
      <c r="T356" s="128"/>
    </row>
    <row r="357" spans="1:20" ht="14.1" customHeight="1" x14ac:dyDescent="0.2">
      <c r="A357" s="120">
        <v>9</v>
      </c>
      <c r="B357" s="276"/>
      <c r="C357" s="137"/>
      <c r="F357" s="113" t="s">
        <v>1484</v>
      </c>
      <c r="I357" s="338">
        <f>'2027 GSLDPR Rate Class E-13c'!J26</f>
        <v>6.7580171922900032E-3</v>
      </c>
      <c r="J357" s="334" t="s">
        <v>1418</v>
      </c>
      <c r="N357" s="338">
        <f>'2027 GSLDPR Rate Class E-13c'!Q26</f>
        <v>7.0295551678283648E-3</v>
      </c>
      <c r="O357" s="334" t="s">
        <v>1418</v>
      </c>
      <c r="Q357" s="125">
        <f t="shared" si="39"/>
        <v>4.0180125000000025E-2</v>
      </c>
      <c r="R357" s="128"/>
      <c r="S357" s="128"/>
      <c r="T357" s="128"/>
    </row>
    <row r="358" spans="1:20" ht="14.1" customHeight="1" x14ac:dyDescent="0.2">
      <c r="A358" s="120">
        <v>10</v>
      </c>
      <c r="B358" s="276"/>
      <c r="C358" s="137"/>
      <c r="Q358" s="141"/>
      <c r="R358" s="128"/>
      <c r="S358" s="128"/>
      <c r="T358" s="128"/>
    </row>
    <row r="359" spans="1:20" ht="14.1" customHeight="1" x14ac:dyDescent="0.2">
      <c r="A359" s="120">
        <v>11</v>
      </c>
      <c r="B359" s="276"/>
      <c r="C359" s="137"/>
      <c r="E359" s="116" t="s">
        <v>379</v>
      </c>
      <c r="Q359" s="141"/>
      <c r="R359" s="128"/>
      <c r="S359" s="128"/>
      <c r="T359" s="128"/>
    </row>
    <row r="360" spans="1:20" ht="14.1" customHeight="1" x14ac:dyDescent="0.2">
      <c r="A360" s="120">
        <v>12</v>
      </c>
      <c r="B360" s="276"/>
      <c r="C360" s="137"/>
      <c r="F360" s="147" t="s">
        <v>1442</v>
      </c>
      <c r="G360" s="137"/>
      <c r="H360" s="128"/>
      <c r="I360" s="288">
        <f>'2027 GSLDPR Rate Class E-13c'!J30</f>
        <v>13.769143534856953</v>
      </c>
      <c r="J360" s="128" t="s">
        <v>1355</v>
      </c>
      <c r="K360" s="128"/>
      <c r="L360" s="128"/>
      <c r="M360" s="128"/>
      <c r="N360" s="288">
        <f>'2027 GSLDPR Rate Class E-13c'!Q30</f>
        <v>14.322389443230447</v>
      </c>
      <c r="O360" s="128" t="s">
        <v>1355</v>
      </c>
      <c r="Q360" s="125">
        <f>IF(I360=0,0,+(N360-I360)/I360)</f>
        <v>4.0180124999999997E-2</v>
      </c>
      <c r="R360" s="128"/>
      <c r="S360" s="128"/>
      <c r="T360" s="128"/>
    </row>
    <row r="361" spans="1:20" ht="14.1" customHeight="1" x14ac:dyDescent="0.2">
      <c r="A361" s="120">
        <v>13</v>
      </c>
      <c r="B361" s="276"/>
      <c r="C361" s="137"/>
      <c r="F361" s="113" t="s">
        <v>1485</v>
      </c>
      <c r="I361" s="288">
        <f>'2027 GSLDPR Rate Class E-13c'!J31</f>
        <v>3.0986211940935928</v>
      </c>
      <c r="J361" s="128" t="s">
        <v>1355</v>
      </c>
      <c r="K361" s="128"/>
      <c r="N361" s="288">
        <f>'2027 GSLDPR Rate Class E-13c'!Q31</f>
        <v>3.2231241809999225</v>
      </c>
      <c r="O361" s="128" t="s">
        <v>1355</v>
      </c>
      <c r="Q361" s="125">
        <f>IF(I361=0,0,+(N361-I361)/I361)</f>
        <v>4.0180124999999949E-2</v>
      </c>
      <c r="R361" s="128"/>
      <c r="S361" s="128"/>
      <c r="T361" s="128"/>
    </row>
    <row r="362" spans="1:20" ht="14.1" customHeight="1" x14ac:dyDescent="0.2">
      <c r="A362" s="120">
        <v>14</v>
      </c>
      <c r="B362" s="276"/>
      <c r="C362" s="137"/>
      <c r="F362" s="113" t="s">
        <v>1486</v>
      </c>
      <c r="H362" s="128"/>
      <c r="I362" s="288">
        <f>'2027 GSLDPR Rate Class E-13c'!J32</f>
        <v>10.665225923013358</v>
      </c>
      <c r="J362" s="128" t="s">
        <v>1355</v>
      </c>
      <c r="K362" s="128"/>
      <c r="L362" s="128"/>
      <c r="M362" s="128"/>
      <c r="N362" s="288">
        <f>'2027 GSLDPR Rate Class E-13c'!Q32</f>
        <v>11.093756033753275</v>
      </c>
      <c r="O362" s="128" t="s">
        <v>1355</v>
      </c>
      <c r="Q362" s="125">
        <f>IF(I362=0,0,+(N362-I362)/I362)</f>
        <v>4.0180124999999997E-2</v>
      </c>
      <c r="R362" s="128"/>
      <c r="S362" s="128"/>
      <c r="T362" s="128"/>
    </row>
    <row r="363" spans="1:20" ht="14.1" customHeight="1" x14ac:dyDescent="0.2">
      <c r="A363" s="120">
        <v>15</v>
      </c>
      <c r="B363" s="276"/>
      <c r="C363" s="137"/>
      <c r="G363" s="137"/>
      <c r="H363" s="128"/>
      <c r="I363" s="288"/>
      <c r="J363" s="128"/>
      <c r="K363" s="128"/>
      <c r="L363" s="128"/>
      <c r="M363" s="128"/>
      <c r="N363" s="288"/>
      <c r="O363" s="128"/>
      <c r="Q363" s="125"/>
      <c r="R363" s="128"/>
      <c r="S363" s="128"/>
      <c r="T363" s="128"/>
    </row>
    <row r="364" spans="1:20" ht="14.1" customHeight="1" x14ac:dyDescent="0.2">
      <c r="A364" s="120">
        <v>16</v>
      </c>
      <c r="B364" s="276"/>
      <c r="C364" s="137"/>
      <c r="E364" s="323" t="s">
        <v>1487</v>
      </c>
      <c r="G364" s="128"/>
      <c r="H364" s="128"/>
      <c r="I364" s="288">
        <f>'2027 GSLDPR Rate Class E-13c'!J36</f>
        <v>1.080469221</v>
      </c>
      <c r="J364" s="128" t="s">
        <v>1355</v>
      </c>
      <c r="K364" s="128"/>
      <c r="L364" s="128"/>
      <c r="M364" s="128"/>
      <c r="N364" s="288">
        <f>'2027 GSLDPR Rate Class E-13c'!Q36</f>
        <v>1.1238826093584326</v>
      </c>
      <c r="O364" s="128" t="s">
        <v>1355</v>
      </c>
      <c r="Q364" s="125">
        <f>IF(I364=0,0,+(N364-I364)/I364)</f>
        <v>4.0180125000000039E-2</v>
      </c>
      <c r="R364" s="128"/>
      <c r="S364" s="128"/>
      <c r="T364" s="128"/>
    </row>
    <row r="365" spans="1:20" ht="14.1" customHeight="1" x14ac:dyDescent="0.2">
      <c r="A365" s="120">
        <v>17</v>
      </c>
      <c r="B365" s="276"/>
      <c r="C365" s="137"/>
      <c r="Q365" s="141"/>
      <c r="R365" s="128"/>
      <c r="S365" s="128"/>
      <c r="T365" s="128"/>
    </row>
    <row r="366" spans="1:20" ht="14.1" customHeight="1" x14ac:dyDescent="0.2">
      <c r="A366" s="120">
        <v>18</v>
      </c>
      <c r="B366" s="276"/>
      <c r="C366" s="137"/>
      <c r="E366" s="113" t="s">
        <v>1477</v>
      </c>
      <c r="I366" s="338">
        <f>'2027 GSLDPR Rate Class E-13c'!J41</f>
        <v>2.1503456065000001E-3</v>
      </c>
      <c r="J366" s="113" t="s">
        <v>1478</v>
      </c>
      <c r="L366" s="128"/>
      <c r="M366" s="128"/>
      <c r="N366" s="338">
        <f>'2027 GSLDPR Rate Class E-13c'!Q41</f>
        <v>2.236746761762371E-3</v>
      </c>
      <c r="O366" s="113" t="s">
        <v>1478</v>
      </c>
      <c r="Q366" s="125">
        <f>IF(I366=0,0,+(N366-I366)/I366)</f>
        <v>4.018012500000006E-2</v>
      </c>
      <c r="R366" s="128"/>
      <c r="S366" s="128"/>
      <c r="T366" s="128"/>
    </row>
    <row r="367" spans="1:20" ht="14.1" customHeight="1" x14ac:dyDescent="0.2">
      <c r="A367" s="120">
        <v>19</v>
      </c>
      <c r="B367" s="276"/>
      <c r="C367" s="137"/>
      <c r="I367" s="313"/>
      <c r="L367" s="128"/>
      <c r="M367" s="128"/>
      <c r="N367" s="313"/>
      <c r="Q367" s="364"/>
      <c r="R367" s="128"/>
      <c r="S367" s="128"/>
      <c r="T367" s="128"/>
    </row>
    <row r="368" spans="1:20" ht="14.1" customHeight="1" x14ac:dyDescent="0.2">
      <c r="A368" s="120">
        <v>20</v>
      </c>
      <c r="B368" s="276"/>
      <c r="C368" s="137"/>
      <c r="E368" s="113" t="s">
        <v>1479</v>
      </c>
      <c r="F368" s="124"/>
      <c r="G368" s="128"/>
      <c r="H368" s="128"/>
      <c r="I368" s="338">
        <f>'2027 GSLDPR Rate Class E-13c'!J45</f>
        <v>-1.0804692210000001E-3</v>
      </c>
      <c r="J368" s="113" t="s">
        <v>1478</v>
      </c>
      <c r="L368" s="128"/>
      <c r="M368" s="128"/>
      <c r="N368" s="338">
        <f>'2027 GSLDPR Rate Class E-13c'!Q45</f>
        <v>-1.1238826093584327E-3</v>
      </c>
      <c r="O368" s="113" t="s">
        <v>1478</v>
      </c>
      <c r="Q368" s="125">
        <f>IF(I368=0,0,+(N368-I368)/I368)</f>
        <v>4.0180124999999983E-2</v>
      </c>
      <c r="R368" s="128"/>
      <c r="S368" s="128"/>
      <c r="T368" s="128"/>
    </row>
    <row r="369" spans="1:20" ht="14.1" customHeight="1" x14ac:dyDescent="0.2">
      <c r="A369" s="120">
        <v>21</v>
      </c>
      <c r="B369" s="276"/>
      <c r="C369" s="137"/>
      <c r="Q369" s="141"/>
      <c r="R369" s="128"/>
      <c r="S369" s="128"/>
      <c r="T369" s="128"/>
    </row>
    <row r="370" spans="1:20" ht="14.1" customHeight="1" x14ac:dyDescent="0.2">
      <c r="A370" s="120">
        <v>22</v>
      </c>
      <c r="B370" s="276"/>
      <c r="C370" s="137"/>
      <c r="E370" s="342" t="s">
        <v>811</v>
      </c>
      <c r="H370" s="128"/>
      <c r="I370" s="288"/>
      <c r="J370" s="128"/>
      <c r="K370" s="128"/>
      <c r="L370" s="128"/>
      <c r="M370" s="128"/>
      <c r="N370" s="288"/>
      <c r="O370" s="128"/>
      <c r="Q370" s="364"/>
      <c r="R370" s="128"/>
      <c r="S370" s="128"/>
      <c r="T370" s="128"/>
    </row>
    <row r="371" spans="1:20" ht="14.1" customHeight="1" x14ac:dyDescent="0.2">
      <c r="A371" s="120">
        <v>23</v>
      </c>
      <c r="B371" s="276"/>
      <c r="C371" s="137"/>
      <c r="F371" s="147" t="s">
        <v>1488</v>
      </c>
      <c r="G371" s="137"/>
      <c r="H371" s="128"/>
      <c r="I371" s="356">
        <f>+'2027 GSLDPR Rate Class E-13c'!J50*100</f>
        <v>-1</v>
      </c>
      <c r="J371" s="128" t="s">
        <v>1450</v>
      </c>
      <c r="K371" s="128"/>
      <c r="L371" s="128"/>
      <c r="M371" s="128"/>
      <c r="N371" s="356">
        <f>+'2027 GSLDPR Rate Class E-13c'!Q50*100</f>
        <v>-1</v>
      </c>
      <c r="O371" s="128" t="s">
        <v>1450</v>
      </c>
      <c r="Q371" s="125">
        <f>IF(I371=0,0,+(N371-I371)/I371)</f>
        <v>0</v>
      </c>
      <c r="R371" s="128"/>
      <c r="S371" s="128"/>
      <c r="T371" s="128"/>
    </row>
    <row r="372" spans="1:20" ht="14.1" customHeight="1" x14ac:dyDescent="0.2">
      <c r="A372" s="120">
        <v>24</v>
      </c>
      <c r="B372" s="276"/>
      <c r="C372" s="137"/>
      <c r="F372" s="113" t="s">
        <v>1489</v>
      </c>
      <c r="I372" s="356">
        <f>+'2027 GSLDPR Rate Class E-13c'!J51*100</f>
        <v>-1</v>
      </c>
      <c r="J372" s="128" t="s">
        <v>1450</v>
      </c>
      <c r="K372" s="128"/>
      <c r="N372" s="356">
        <f>+'2027 GSLDPR Rate Class E-13c'!Q51*100</f>
        <v>-1</v>
      </c>
      <c r="O372" s="128" t="s">
        <v>1450</v>
      </c>
      <c r="Q372" s="125">
        <f>IF(I372=0,0,+(N372-I372)/I372)</f>
        <v>0</v>
      </c>
      <c r="R372" s="128"/>
      <c r="S372" s="128"/>
      <c r="T372" s="128"/>
    </row>
    <row r="373" spans="1:20" ht="14.1" customHeight="1" x14ac:dyDescent="0.2">
      <c r="A373" s="120">
        <v>25</v>
      </c>
      <c r="B373" s="276"/>
      <c r="C373" s="137"/>
      <c r="Q373" s="127"/>
      <c r="R373" s="128"/>
      <c r="S373" s="128"/>
      <c r="T373" s="128"/>
    </row>
    <row r="374" spans="1:20" ht="14.1" customHeight="1" x14ac:dyDescent="0.2">
      <c r="A374" s="120">
        <v>26</v>
      </c>
      <c r="B374" s="276"/>
      <c r="C374" s="137"/>
      <c r="R374" s="128"/>
      <c r="S374" s="128"/>
      <c r="T374" s="128"/>
    </row>
    <row r="375" spans="1:20" ht="14.1" customHeight="1" x14ac:dyDescent="0.2">
      <c r="A375" s="120">
        <v>27</v>
      </c>
      <c r="B375" s="276"/>
      <c r="C375" s="137"/>
      <c r="R375" s="128"/>
      <c r="S375" s="128"/>
      <c r="T375" s="128"/>
    </row>
    <row r="376" spans="1:20" ht="14.1" customHeight="1" x14ac:dyDescent="0.2">
      <c r="A376" s="120">
        <v>28</v>
      </c>
      <c r="B376" s="276"/>
      <c r="C376" s="137"/>
      <c r="R376" s="128"/>
      <c r="S376" s="128"/>
      <c r="T376" s="128"/>
    </row>
    <row r="377" spans="1:20" ht="14.1" customHeight="1" x14ac:dyDescent="0.2">
      <c r="A377" s="120">
        <v>29</v>
      </c>
      <c r="B377" s="276"/>
      <c r="C377" s="137"/>
      <c r="I377" s="356"/>
      <c r="J377" s="128"/>
      <c r="K377" s="128"/>
      <c r="N377" s="356"/>
      <c r="O377" s="128"/>
      <c r="Q377" s="351"/>
      <c r="R377" s="128"/>
      <c r="S377" s="128"/>
      <c r="T377" s="128"/>
    </row>
    <row r="378" spans="1:20" ht="14.1" customHeight="1" x14ac:dyDescent="0.2">
      <c r="A378" s="120">
        <v>30</v>
      </c>
      <c r="B378" s="276"/>
      <c r="C378" s="137"/>
      <c r="I378" s="356"/>
      <c r="J378" s="128"/>
      <c r="K378" s="128"/>
      <c r="N378" s="356"/>
      <c r="O378" s="128"/>
      <c r="Q378" s="351"/>
      <c r="R378" s="128"/>
      <c r="S378" s="128"/>
      <c r="T378" s="128"/>
    </row>
    <row r="379" spans="1:20" ht="14.1" customHeight="1" x14ac:dyDescent="0.2">
      <c r="A379" s="120">
        <v>31</v>
      </c>
      <c r="B379" s="276"/>
      <c r="C379" s="137"/>
      <c r="I379" s="356"/>
      <c r="J379" s="128"/>
      <c r="K379" s="128"/>
      <c r="N379" s="356"/>
      <c r="O379" s="128"/>
      <c r="Q379" s="351"/>
      <c r="R379" s="128"/>
      <c r="S379" s="128"/>
      <c r="T379" s="128"/>
    </row>
    <row r="380" spans="1:20" ht="14.1" customHeight="1" x14ac:dyDescent="0.2">
      <c r="A380" s="120">
        <v>32</v>
      </c>
      <c r="B380" s="276"/>
      <c r="C380" s="137"/>
      <c r="I380" s="356"/>
      <c r="J380" s="128"/>
      <c r="K380" s="128"/>
      <c r="N380" s="356"/>
      <c r="O380" s="128"/>
      <c r="Q380" s="351"/>
      <c r="R380" s="128"/>
      <c r="S380" s="128"/>
      <c r="T380" s="128"/>
    </row>
    <row r="381" spans="1:20" ht="14.1" customHeight="1" x14ac:dyDescent="0.2">
      <c r="A381" s="120">
        <v>33</v>
      </c>
      <c r="B381" s="276"/>
      <c r="C381" s="137"/>
      <c r="I381" s="356"/>
      <c r="J381" s="128"/>
      <c r="K381" s="128"/>
      <c r="N381" s="356"/>
      <c r="O381" s="128"/>
      <c r="Q381" s="351"/>
      <c r="R381" s="128"/>
      <c r="S381" s="128"/>
      <c r="T381" s="128"/>
    </row>
    <row r="382" spans="1:20" ht="14.1" customHeight="1" x14ac:dyDescent="0.2">
      <c r="A382" s="120">
        <v>34</v>
      </c>
      <c r="B382" s="276"/>
      <c r="C382" s="137"/>
      <c r="I382" s="356"/>
      <c r="J382" s="128"/>
      <c r="K382" s="128"/>
      <c r="N382" s="356"/>
      <c r="O382" s="128"/>
      <c r="Q382" s="351"/>
      <c r="R382" s="128"/>
      <c r="S382" s="128"/>
      <c r="T382" s="128"/>
    </row>
    <row r="383" spans="1:20" ht="14.1" customHeight="1" x14ac:dyDescent="0.2">
      <c r="A383" s="120">
        <v>35</v>
      </c>
      <c r="B383" s="276"/>
      <c r="C383" s="137"/>
      <c r="I383" s="356"/>
      <c r="J383" s="128"/>
      <c r="K383" s="128"/>
      <c r="N383" s="356"/>
      <c r="O383" s="128"/>
      <c r="Q383" s="351"/>
      <c r="R383" s="128"/>
      <c r="S383" s="128"/>
      <c r="T383" s="128"/>
    </row>
    <row r="384" spans="1:20" ht="14.1" customHeight="1" thickBot="1" x14ac:dyDescent="0.25">
      <c r="A384" s="118">
        <v>36</v>
      </c>
      <c r="B384" s="343"/>
      <c r="C384" s="344"/>
      <c r="D384" s="114"/>
      <c r="E384" s="114"/>
      <c r="F384" s="114"/>
      <c r="G384" s="114"/>
      <c r="H384" s="114"/>
      <c r="I384" s="358"/>
      <c r="J384" s="346"/>
      <c r="K384" s="346"/>
      <c r="L384" s="114"/>
      <c r="M384" s="114"/>
      <c r="N384" s="358"/>
      <c r="O384" s="346"/>
      <c r="P384" s="114"/>
      <c r="Q384" s="350"/>
      <c r="R384" s="346"/>
      <c r="S384" s="346"/>
      <c r="T384" s="346"/>
    </row>
    <row r="385" spans="1:20" ht="14.1" customHeight="1" x14ac:dyDescent="0.2">
      <c r="A385" s="113" t="str">
        <f>+$A$49</f>
        <v>Supporting Schedules:  E-7, E-14 Supplement</v>
      </c>
      <c r="R385" s="113" t="s">
        <v>1369</v>
      </c>
    </row>
    <row r="386" spans="1:20" ht="14.1" customHeight="1" thickBot="1" x14ac:dyDescent="0.25">
      <c r="A386" s="114" t="str">
        <f>+$A$2</f>
        <v>SCHEDULE A-3</v>
      </c>
      <c r="B386" s="114"/>
      <c r="C386" s="114"/>
      <c r="D386" s="114"/>
      <c r="E386" s="114"/>
      <c r="F386" s="114"/>
      <c r="G386" s="114"/>
      <c r="H386" s="114"/>
      <c r="I386" s="114" t="str">
        <f>+$I$2</f>
        <v>SUMMARY OF TARIFFS</v>
      </c>
      <c r="J386" s="114"/>
      <c r="K386" s="114"/>
      <c r="L386" s="114"/>
      <c r="M386" s="114"/>
      <c r="N386" s="114"/>
      <c r="O386" s="114"/>
      <c r="P386" s="114"/>
      <c r="Q386" s="114"/>
      <c r="R386" s="114"/>
      <c r="S386" s="114"/>
      <c r="T386" s="263" t="s">
        <v>1490</v>
      </c>
    </row>
    <row r="387" spans="1:20" ht="14.1" customHeight="1" x14ac:dyDescent="0.2">
      <c r="A387" s="113" t="s">
        <v>307</v>
      </c>
      <c r="F387" s="117" t="s">
        <v>1405</v>
      </c>
      <c r="G387" s="113" t="s">
        <v>1406</v>
      </c>
      <c r="L387" s="115"/>
      <c r="M387" s="115"/>
      <c r="O387" s="115"/>
      <c r="P387" s="115"/>
      <c r="Q387" s="115" t="s">
        <v>845</v>
      </c>
      <c r="T387" s="116"/>
    </row>
    <row r="388" spans="1:20" ht="14.1" customHeight="1" x14ac:dyDescent="0.2">
      <c r="G388" s="113" t="s">
        <v>1407</v>
      </c>
      <c r="L388" s="117"/>
      <c r="M388" s="116"/>
      <c r="P388" s="117"/>
      <c r="Q388" s="11" t="s">
        <v>916</v>
      </c>
      <c r="R388" s="10" t="s">
        <v>1512</v>
      </c>
      <c r="T388" s="117"/>
    </row>
    <row r="389" spans="1:20" ht="14.1" customHeight="1" x14ac:dyDescent="0.2">
      <c r="A389" s="113" t="s">
        <v>310</v>
      </c>
      <c r="L389" s="117"/>
      <c r="M389" s="116"/>
      <c r="N389" s="117"/>
      <c r="Q389" s="11"/>
      <c r="R389" s="10"/>
      <c r="T389" s="117"/>
    </row>
    <row r="390" spans="1:20" ht="14.1" customHeight="1" x14ac:dyDescent="0.2">
      <c r="L390" s="117"/>
      <c r="M390" s="116"/>
      <c r="N390" s="117"/>
      <c r="Q390" s="11"/>
      <c r="R390" s="10"/>
      <c r="T390" s="117"/>
    </row>
    <row r="391" spans="1:20" ht="14.1" customHeight="1" thickBot="1" x14ac:dyDescent="0.25">
      <c r="A391" s="114" t="s">
        <v>1521</v>
      </c>
      <c r="B391" s="114"/>
      <c r="C391" s="114"/>
      <c r="D391" s="114"/>
      <c r="E391" s="114"/>
      <c r="F391" s="114"/>
      <c r="G391" s="114"/>
      <c r="H391" s="114"/>
      <c r="I391" s="118"/>
      <c r="J391" s="114"/>
      <c r="K391" s="114"/>
      <c r="L391" s="114"/>
      <c r="M391" s="114"/>
      <c r="N391" s="114"/>
      <c r="O391" s="114"/>
      <c r="P391" s="114"/>
      <c r="Q391" s="114"/>
      <c r="R391" s="114" t="s">
        <v>1519</v>
      </c>
      <c r="S391" s="114"/>
      <c r="T391" s="114"/>
    </row>
    <row r="392" spans="1:20" ht="14.1" customHeight="1" x14ac:dyDescent="0.2">
      <c r="A392" s="113" t="str">
        <f>IF(+A$8="","",A$8)</f>
        <v/>
      </c>
      <c r="B392" s="120" t="str">
        <f t="shared" ref="B392:T392" si="40">IF(+B$8="","",B$8)</f>
        <v/>
      </c>
      <c r="C392" s="120" t="str">
        <f t="shared" si="40"/>
        <v>(1)</v>
      </c>
      <c r="D392" s="120" t="str">
        <f t="shared" si="40"/>
        <v/>
      </c>
      <c r="E392" s="120" t="str">
        <f t="shared" si="40"/>
        <v/>
      </c>
      <c r="F392" s="120" t="str">
        <f t="shared" si="40"/>
        <v>(2)</v>
      </c>
      <c r="G392" s="120" t="str">
        <f t="shared" si="40"/>
        <v/>
      </c>
      <c r="H392" s="120" t="str">
        <f>IF(+H$8="","",H$8)</f>
        <v/>
      </c>
      <c r="I392" s="120" t="str">
        <f>IF(+I$8="","",I$8)</f>
        <v>(3)</v>
      </c>
      <c r="J392" s="120" t="str">
        <f>IF(+J$8="","",J$8)</f>
        <v/>
      </c>
      <c r="K392" s="120"/>
      <c r="L392" s="120" t="str">
        <f t="shared" si="40"/>
        <v>(4)</v>
      </c>
      <c r="M392" s="120" t="str">
        <f t="shared" si="40"/>
        <v/>
      </c>
      <c r="N392" s="120" t="str">
        <f t="shared" si="40"/>
        <v>(5)</v>
      </c>
      <c r="O392" s="120" t="str">
        <f t="shared" si="40"/>
        <v/>
      </c>
      <c r="Q392" s="120" t="str">
        <f>IF(+Q$8="","",Q$8)</f>
        <v>(6)</v>
      </c>
      <c r="R392" s="120" t="str">
        <f t="shared" si="40"/>
        <v/>
      </c>
      <c r="S392" s="120" t="str">
        <f t="shared" si="40"/>
        <v/>
      </c>
      <c r="T392" s="120" t="str">
        <f t="shared" si="40"/>
        <v/>
      </c>
    </row>
    <row r="393" spans="1:20" ht="14.1" customHeight="1" x14ac:dyDescent="0.2">
      <c r="A393" s="113" t="str">
        <f>IF(+A$9="","",A$9)</f>
        <v/>
      </c>
      <c r="B393" s="120" t="str">
        <f t="shared" ref="B393:T393" si="41">IF(+B$9="","",B$9)</f>
        <v/>
      </c>
      <c r="C393" s="120" t="str">
        <f t="shared" si="41"/>
        <v/>
      </c>
      <c r="D393" s="120" t="str">
        <f t="shared" si="41"/>
        <v/>
      </c>
      <c r="E393" s="120" t="str">
        <f t="shared" si="41"/>
        <v/>
      </c>
      <c r="F393" s="120" t="str">
        <f t="shared" si="41"/>
        <v/>
      </c>
      <c r="G393" s="120" t="str">
        <f t="shared" si="41"/>
        <v/>
      </c>
      <c r="H393" s="120" t="str">
        <f>IF(+H$9="","",H$9)</f>
        <v/>
      </c>
      <c r="I393" s="120" t="str">
        <f>IF(+I$9="","",I$9)</f>
        <v/>
      </c>
      <c r="J393" s="120" t="str">
        <f>IF(+J$9="","",J$9)</f>
        <v/>
      </c>
      <c r="K393" s="120"/>
      <c r="L393" s="120" t="str">
        <f t="shared" si="41"/>
        <v/>
      </c>
      <c r="M393" s="120" t="str">
        <f t="shared" si="41"/>
        <v/>
      </c>
      <c r="N393" s="120" t="str">
        <f t="shared" si="41"/>
        <v/>
      </c>
      <c r="O393" s="120" t="str">
        <f t="shared" si="41"/>
        <v/>
      </c>
      <c r="Q393" s="120" t="str">
        <f>IF(+Q$9="","",Q$9)</f>
        <v/>
      </c>
      <c r="R393" s="120" t="str">
        <f t="shared" si="41"/>
        <v/>
      </c>
      <c r="S393" s="120" t="str">
        <f t="shared" si="41"/>
        <v/>
      </c>
      <c r="T393" s="120" t="str">
        <f t="shared" si="41"/>
        <v/>
      </c>
    </row>
    <row r="394" spans="1:20" ht="14.1" customHeight="1" x14ac:dyDescent="0.2">
      <c r="A394" s="113" t="str">
        <f>IF(+A$10="","",A$10)</f>
        <v/>
      </c>
      <c r="B394" s="120" t="str">
        <f t="shared" ref="B394:T394" si="42">IF(+B$10="","",B$10)</f>
        <v/>
      </c>
      <c r="C394" s="120" t="str">
        <f t="shared" si="42"/>
        <v xml:space="preserve">Current </v>
      </c>
      <c r="D394" s="120" t="str">
        <f t="shared" si="42"/>
        <v/>
      </c>
      <c r="E394" s="120" t="str">
        <f t="shared" si="42"/>
        <v/>
      </c>
      <c r="F394" s="120" t="str">
        <f t="shared" si="42"/>
        <v/>
      </c>
      <c r="G394" s="120" t="str">
        <f t="shared" si="42"/>
        <v/>
      </c>
      <c r="H394" s="120" t="str">
        <f>IF(+H$10="","",H$10)</f>
        <v/>
      </c>
      <c r="I394" s="120" t="str">
        <f>IF(+I$10="","",I$10)</f>
        <v/>
      </c>
      <c r="J394" s="120" t="str">
        <f>IF(+J$10="","",J$10)</f>
        <v/>
      </c>
      <c r="K394" s="120"/>
      <c r="L394" s="120" t="str">
        <f t="shared" si="42"/>
        <v>Proposed</v>
      </c>
      <c r="M394" s="120" t="str">
        <f t="shared" si="42"/>
        <v/>
      </c>
      <c r="N394" s="120" t="str">
        <f t="shared" si="42"/>
        <v/>
      </c>
      <c r="O394" s="120" t="str">
        <f t="shared" si="42"/>
        <v/>
      </c>
      <c r="Q394" s="120" t="str">
        <f>IF(+Q$10="","",Q$10)</f>
        <v>Percent</v>
      </c>
      <c r="R394" s="120" t="str">
        <f t="shared" si="42"/>
        <v/>
      </c>
      <c r="S394" s="120" t="str">
        <f t="shared" si="42"/>
        <v/>
      </c>
      <c r="T394" s="120" t="str">
        <f t="shared" si="42"/>
        <v/>
      </c>
    </row>
    <row r="395" spans="1:20" ht="14.1" customHeight="1" x14ac:dyDescent="0.2">
      <c r="A395" s="120" t="str">
        <f>IF(+A$11="","",A$11)</f>
        <v>Line</v>
      </c>
      <c r="B395" s="120" t="str">
        <f t="shared" ref="B395:T395" si="43">IF(+B$11="","",B$11)</f>
        <v/>
      </c>
      <c r="C395" s="120" t="str">
        <f t="shared" si="43"/>
        <v>Rate</v>
      </c>
      <c r="D395" s="120" t="str">
        <f t="shared" si="43"/>
        <v/>
      </c>
      <c r="E395" s="120" t="str">
        <f t="shared" si="43"/>
        <v/>
      </c>
      <c r="F395" s="120" t="str">
        <f t="shared" si="43"/>
        <v/>
      </c>
      <c r="G395" s="120" t="str">
        <f t="shared" si="43"/>
        <v/>
      </c>
      <c r="H395" s="120" t="str">
        <f>IF(+H$11="","",H$11)</f>
        <v/>
      </c>
      <c r="I395" s="120" t="str">
        <f>IF(+I$11="","",I$11)</f>
        <v>Current</v>
      </c>
      <c r="J395" s="120" t="str">
        <f>IF(+J$11="","",J$11)</f>
        <v/>
      </c>
      <c r="K395" s="120"/>
      <c r="L395" s="120" t="str">
        <f t="shared" si="43"/>
        <v>Rate</v>
      </c>
      <c r="M395" s="120" t="str">
        <f t="shared" si="43"/>
        <v/>
      </c>
      <c r="N395" s="120" t="str">
        <f t="shared" si="43"/>
        <v>Proposed</v>
      </c>
      <c r="O395" s="120" t="str">
        <f t="shared" si="43"/>
        <v/>
      </c>
      <c r="Q395" s="120" t="str">
        <f>IF(+Q$11="","",Q$11)</f>
        <v>Increase</v>
      </c>
      <c r="R395" s="120" t="str">
        <f t="shared" si="43"/>
        <v/>
      </c>
      <c r="S395" s="120" t="str">
        <f t="shared" si="43"/>
        <v/>
      </c>
      <c r="T395" s="120" t="str">
        <f t="shared" si="43"/>
        <v/>
      </c>
    </row>
    <row r="396" spans="1:20" ht="14.1" customHeight="1" thickBot="1" x14ac:dyDescent="0.25">
      <c r="A396" s="118" t="str">
        <f>IF(+A$12="","",A$12)</f>
        <v>No.</v>
      </c>
      <c r="B396" s="118" t="str">
        <f t="shared" ref="B396:T396" si="44">IF(+B$12="","",B$12)</f>
        <v/>
      </c>
      <c r="C396" s="118" t="str">
        <f t="shared" si="44"/>
        <v>Schedule</v>
      </c>
      <c r="D396" s="118" t="str">
        <f t="shared" si="44"/>
        <v/>
      </c>
      <c r="E396" s="118"/>
      <c r="F396" s="118" t="str">
        <f t="shared" si="44"/>
        <v>Type of Charge</v>
      </c>
      <c r="G396" s="118"/>
      <c r="H396" s="118" t="str">
        <f>IF(+H$12="","",H$12)</f>
        <v/>
      </c>
      <c r="I396" s="118" t="str">
        <f>IF(+I$12="","",I$12)</f>
        <v>Rate</v>
      </c>
      <c r="J396" s="118" t="str">
        <f>IF(+J$12="","",J$12)</f>
        <v/>
      </c>
      <c r="K396" s="118"/>
      <c r="L396" s="118" t="str">
        <f t="shared" si="44"/>
        <v>Schedule</v>
      </c>
      <c r="M396" s="118" t="str">
        <f t="shared" si="44"/>
        <v/>
      </c>
      <c r="N396" s="118" t="str">
        <f t="shared" si="44"/>
        <v>Rate</v>
      </c>
      <c r="O396" s="118" t="str">
        <f t="shared" si="44"/>
        <v/>
      </c>
      <c r="P396" s="114"/>
      <c r="Q396" s="118" t="str">
        <f>IF(+Q$12="","",Q$12)</f>
        <v>((5)-(3))/(3)</v>
      </c>
      <c r="R396" s="118" t="str">
        <f t="shared" si="44"/>
        <v/>
      </c>
      <c r="S396" s="118" t="str">
        <f t="shared" si="44"/>
        <v/>
      </c>
      <c r="T396" s="118" t="str">
        <f t="shared" si="44"/>
        <v/>
      </c>
    </row>
    <row r="397" spans="1:20" ht="14.1" customHeight="1" x14ac:dyDescent="0.2">
      <c r="A397" s="120">
        <v>1</v>
      </c>
      <c r="B397" s="340"/>
      <c r="C397" s="305" t="s">
        <v>452</v>
      </c>
      <c r="D397" s="137"/>
      <c r="E397" s="330" t="s">
        <v>326</v>
      </c>
      <c r="G397" s="124"/>
      <c r="H397" s="137"/>
      <c r="J397" s="137"/>
      <c r="K397" s="137"/>
      <c r="L397" s="305" t="s">
        <v>452</v>
      </c>
      <c r="M397" s="137"/>
      <c r="N397" s="137"/>
      <c r="O397" s="137"/>
      <c r="Q397" s="137"/>
      <c r="R397" s="137"/>
      <c r="S397" s="137"/>
      <c r="T397" s="137"/>
    </row>
    <row r="398" spans="1:20" ht="14.1" customHeight="1" x14ac:dyDescent="0.2">
      <c r="A398" s="120">
        <v>2</v>
      </c>
      <c r="B398" s="276"/>
      <c r="F398" s="147" t="s">
        <v>768</v>
      </c>
      <c r="H398" s="137"/>
      <c r="I398" s="288">
        <f>'2027 GSLDSU Rate Class E-13c'!J18</f>
        <v>135.18576468178648</v>
      </c>
      <c r="J398" s="137" t="s">
        <v>1414</v>
      </c>
      <c r="K398" s="137"/>
      <c r="L398" s="137"/>
      <c r="M398" s="124"/>
      <c r="N398" s="288">
        <f>'2027 GSLDSU Rate Class E-13c'!Q18</f>
        <v>140.61754628085006</v>
      </c>
      <c r="O398" s="137" t="s">
        <v>1414</v>
      </c>
      <c r="Q398" s="125">
        <f>IF(I398=0,0,+(N398-I398)/I398)</f>
        <v>4.018012999999996E-2</v>
      </c>
      <c r="R398" s="137"/>
      <c r="S398" s="137"/>
      <c r="T398" s="137"/>
    </row>
    <row r="399" spans="1:20" ht="14.1" customHeight="1" x14ac:dyDescent="0.2">
      <c r="A399" s="120">
        <v>3</v>
      </c>
      <c r="B399" s="276"/>
      <c r="C399" s="124"/>
      <c r="F399" s="113" t="s">
        <v>1437</v>
      </c>
      <c r="I399" s="288">
        <f>'2027 GSLDSU Rate Class E-13c'!J19</f>
        <v>135.18576468178648</v>
      </c>
      <c r="J399" s="137" t="s">
        <v>1414</v>
      </c>
      <c r="K399" s="137"/>
      <c r="N399" s="288">
        <f>'2027 GSLDSU Rate Class E-13c'!Q19</f>
        <v>140.61754628085006</v>
      </c>
      <c r="O399" s="137" t="s">
        <v>1414</v>
      </c>
      <c r="Q399" s="125">
        <f>IF(I399=0,0,+(N399-I399)/I399)</f>
        <v>4.018012999999996E-2</v>
      </c>
      <c r="R399" s="128"/>
      <c r="S399" s="128"/>
      <c r="T399" s="128"/>
    </row>
    <row r="400" spans="1:20" ht="14.1" customHeight="1" x14ac:dyDescent="0.2">
      <c r="A400" s="120">
        <v>4</v>
      </c>
      <c r="B400" s="276"/>
      <c r="C400" s="124"/>
      <c r="I400" s="288"/>
      <c r="N400" s="288"/>
      <c r="Q400" s="141"/>
      <c r="R400" s="128"/>
      <c r="S400" s="128"/>
      <c r="T400" s="128"/>
    </row>
    <row r="401" spans="1:20" ht="14.1" customHeight="1" x14ac:dyDescent="0.2">
      <c r="A401" s="120">
        <v>5</v>
      </c>
      <c r="B401" s="276"/>
      <c r="C401" s="124"/>
      <c r="E401" s="342" t="s">
        <v>342</v>
      </c>
      <c r="G401" s="124"/>
      <c r="H401" s="128"/>
      <c r="I401" s="288"/>
      <c r="J401" s="122"/>
      <c r="K401" s="122"/>
      <c r="L401" s="128"/>
      <c r="M401" s="122"/>
      <c r="N401" s="288"/>
      <c r="O401" s="122"/>
      <c r="Q401" s="364"/>
      <c r="R401" s="128"/>
      <c r="S401" s="128"/>
      <c r="T401" s="128"/>
    </row>
    <row r="402" spans="1:20" ht="14.1" customHeight="1" x14ac:dyDescent="0.2">
      <c r="A402" s="120">
        <v>6</v>
      </c>
      <c r="B402" s="276"/>
      <c r="C402" s="124"/>
      <c r="F402" s="147" t="s">
        <v>768</v>
      </c>
      <c r="I402" s="338">
        <f>'2027 GSLDSU Rate Class E-13c'!J23</f>
        <v>1.2314277017726343E-2</v>
      </c>
      <c r="J402" s="334" t="s">
        <v>1418</v>
      </c>
      <c r="K402" s="128"/>
      <c r="N402" s="338">
        <f>'2027 GSLDSU Rate Class E-13c'!Q23</f>
        <v>1.2809066269154601E-2</v>
      </c>
      <c r="O402" s="334" t="s">
        <v>1418</v>
      </c>
      <c r="Q402" s="125">
        <f t="shared" ref="Q402:Q404" si="45">IF(I402=0,0,+(N402-I402)/I402)</f>
        <v>4.018013000000005E-2</v>
      </c>
      <c r="R402" s="128"/>
      <c r="S402" s="128"/>
      <c r="T402" s="128"/>
    </row>
    <row r="403" spans="1:20" ht="14.1" customHeight="1" x14ac:dyDescent="0.2">
      <c r="A403" s="120">
        <v>7</v>
      </c>
      <c r="B403" s="276"/>
      <c r="C403" s="137"/>
      <c r="F403" s="113" t="s">
        <v>1491</v>
      </c>
      <c r="I403" s="338">
        <f>'2027 GSLDSU Rate Class E-13c'!J24</f>
        <v>2.2189235912045559E-2</v>
      </c>
      <c r="J403" s="334" t="s">
        <v>1418</v>
      </c>
      <c r="K403" s="128"/>
      <c r="N403" s="338">
        <f>'2027 GSLDSU Rate Class E-13c'!Q24</f>
        <v>2.3080802295592218E-2</v>
      </c>
      <c r="O403" s="334" t="s">
        <v>1418</v>
      </c>
      <c r="Q403" s="125">
        <f t="shared" si="45"/>
        <v>4.0180130000000022E-2</v>
      </c>
      <c r="R403" s="128"/>
      <c r="S403" s="128"/>
      <c r="T403" s="128"/>
    </row>
    <row r="404" spans="1:20" ht="14.1" customHeight="1" x14ac:dyDescent="0.2">
      <c r="A404" s="120">
        <v>8</v>
      </c>
      <c r="B404" s="276"/>
      <c r="C404" s="137"/>
      <c r="F404" s="113" t="s">
        <v>1492</v>
      </c>
      <c r="I404" s="338">
        <f>'2027 GSLDSU Rate Class E-13c'!J25</f>
        <v>1.0833716421458261E-2</v>
      </c>
      <c r="J404" s="334" t="s">
        <v>1418</v>
      </c>
      <c r="K404" s="128"/>
      <c r="N404" s="338">
        <f>'2027 GSLDSU Rate Class E-13c'!Q25</f>
        <v>1.1269016555655589E-2</v>
      </c>
      <c r="O404" s="334" t="s">
        <v>1418</v>
      </c>
      <c r="Q404" s="125">
        <f t="shared" si="45"/>
        <v>4.0180130000000043E-2</v>
      </c>
      <c r="R404" s="128"/>
      <c r="S404" s="128"/>
      <c r="T404" s="128"/>
    </row>
    <row r="405" spans="1:20" ht="14.1" customHeight="1" x14ac:dyDescent="0.2">
      <c r="A405" s="120">
        <v>9</v>
      </c>
      <c r="B405" s="276"/>
      <c r="C405" s="137"/>
      <c r="F405" s="113" t="s">
        <v>1493</v>
      </c>
      <c r="I405" s="338">
        <f>'2027 GSLDSU Rate Class E-13c'!J26</f>
        <v>7.6134944763663398E-3</v>
      </c>
      <c r="J405" s="334" t="s">
        <v>1418</v>
      </c>
      <c r="N405" s="338">
        <f>'2027 GSLDSU Rate Class E-13c'!Q26</f>
        <v>7.9194056741810209E-3</v>
      </c>
      <c r="O405" s="334" t="s">
        <v>1418</v>
      </c>
      <c r="Q405" s="141"/>
      <c r="R405" s="128"/>
      <c r="S405" s="128"/>
      <c r="T405" s="128"/>
    </row>
    <row r="406" spans="1:20" ht="14.1" customHeight="1" x14ac:dyDescent="0.2">
      <c r="A406" s="120">
        <v>10</v>
      </c>
      <c r="B406" s="276"/>
      <c r="C406" s="137"/>
      <c r="Q406" s="141"/>
      <c r="R406" s="128"/>
      <c r="S406" s="128"/>
      <c r="T406" s="128"/>
    </row>
    <row r="407" spans="1:20" ht="14.1" customHeight="1" x14ac:dyDescent="0.2">
      <c r="A407" s="120">
        <v>11</v>
      </c>
      <c r="B407" s="276"/>
      <c r="C407" s="137"/>
      <c r="E407" s="116" t="s">
        <v>379</v>
      </c>
      <c r="Q407" s="141"/>
      <c r="R407" s="128"/>
      <c r="S407" s="128"/>
      <c r="T407" s="128"/>
    </row>
    <row r="408" spans="1:20" ht="14.1" customHeight="1" x14ac:dyDescent="0.2">
      <c r="A408" s="120">
        <v>12</v>
      </c>
      <c r="B408" s="276"/>
      <c r="C408" s="137"/>
      <c r="F408" s="147" t="s">
        <v>1442</v>
      </c>
      <c r="G408" s="137"/>
      <c r="H408" s="128"/>
      <c r="I408" s="288">
        <f>'2027 GSLDSU Rate Class E-13c'!J30</f>
        <v>13.528692539970505</v>
      </c>
      <c r="J408" s="128" t="s">
        <v>1355</v>
      </c>
      <c r="K408" s="128"/>
      <c r="L408" s="128"/>
      <c r="M408" s="128"/>
      <c r="N408" s="288">
        <f>'2027 GSLDSU Rate Class E-13c'!Q30</f>
        <v>14.072277164956549</v>
      </c>
      <c r="O408" s="128" t="s">
        <v>1355</v>
      </c>
      <c r="Q408" s="125">
        <f>IF(I408=0,0,+(N408-I408)/I408)</f>
        <v>4.0180129999999946E-2</v>
      </c>
      <c r="R408" s="128"/>
      <c r="S408" s="128"/>
      <c r="T408" s="128"/>
    </row>
    <row r="409" spans="1:20" ht="14.1" customHeight="1" x14ac:dyDescent="0.2">
      <c r="A409" s="120">
        <v>13</v>
      </c>
      <c r="B409" s="276"/>
      <c r="C409" s="137"/>
      <c r="F409" s="113" t="s">
        <v>1485</v>
      </c>
      <c r="I409" s="288">
        <f>'2027 GSLDSU Rate Class E-13c'!J31</f>
        <v>1.6433626520945765</v>
      </c>
      <c r="J409" s="128" t="s">
        <v>1355</v>
      </c>
      <c r="K409" s="128"/>
      <c r="N409" s="288">
        <f>'2027 GSLDSU Rate Class E-13c'!Q31</f>
        <v>1.7093931770928814</v>
      </c>
      <c r="O409" s="128" t="s">
        <v>1355</v>
      </c>
      <c r="Q409" s="125">
        <f>IF(I409=0,0,+(N409-I409)/I409)</f>
        <v>4.0180130000000001E-2</v>
      </c>
      <c r="R409" s="128"/>
      <c r="S409" s="128"/>
      <c r="T409" s="128"/>
    </row>
    <row r="410" spans="1:20" ht="14.1" customHeight="1" x14ac:dyDescent="0.2">
      <c r="A410" s="120">
        <v>14</v>
      </c>
      <c r="B410" s="276"/>
      <c r="C410" s="137"/>
      <c r="F410" s="113" t="s">
        <v>1486</v>
      </c>
      <c r="H410" s="128"/>
      <c r="I410" s="288">
        <f>'2027 GSLDSU Rate Class E-13c'!J32</f>
        <v>11.885329887875928</v>
      </c>
      <c r="J410" s="128" t="s">
        <v>1355</v>
      </c>
      <c r="K410" s="128"/>
      <c r="L410" s="128"/>
      <c r="M410" s="128"/>
      <c r="N410" s="288">
        <f>'2027 GSLDSU Rate Class E-13c'!Q32</f>
        <v>12.362883987863668</v>
      </c>
      <c r="O410" s="128" t="s">
        <v>1355</v>
      </c>
      <c r="Q410" s="125">
        <f>IF(I410=0,0,+(N410-I410)/I410)</f>
        <v>4.0180130000000008E-2</v>
      </c>
      <c r="R410" s="128"/>
      <c r="S410" s="128"/>
      <c r="T410" s="128"/>
    </row>
    <row r="411" spans="1:20" ht="14.1" customHeight="1" x14ac:dyDescent="0.2">
      <c r="A411" s="120">
        <v>15</v>
      </c>
      <c r="B411" s="276"/>
      <c r="C411" s="137"/>
      <c r="G411" s="137"/>
      <c r="H411" s="128"/>
      <c r="I411" s="288"/>
      <c r="J411" s="128"/>
      <c r="K411" s="128"/>
      <c r="L411" s="128"/>
      <c r="M411" s="128"/>
      <c r="N411" s="288"/>
      <c r="O411" s="128"/>
      <c r="Q411" s="125"/>
      <c r="R411" s="128"/>
      <c r="S411" s="128"/>
      <c r="T411" s="128"/>
    </row>
    <row r="412" spans="1:20" ht="14.1" customHeight="1" x14ac:dyDescent="0.2">
      <c r="A412" s="120">
        <v>16</v>
      </c>
      <c r="B412" s="276"/>
      <c r="C412" s="137"/>
      <c r="E412" s="323" t="s">
        <v>1487</v>
      </c>
      <c r="G412" s="128"/>
      <c r="H412" s="128"/>
      <c r="I412" s="288">
        <f>'2027 GSLDSU Rate Class E-13c'!J36</f>
        <v>1.0804692052611049</v>
      </c>
      <c r="J412" s="128" t="s">
        <v>1355</v>
      </c>
      <c r="K412" s="128"/>
      <c r="L412" s="128"/>
      <c r="M412" s="128"/>
      <c r="N412" s="288">
        <f>'2027 GSLDSU Rate Class E-13c'!Q36</f>
        <v>1.1238825983894927</v>
      </c>
      <c r="O412" s="128" t="s">
        <v>1355</v>
      </c>
      <c r="Q412" s="125">
        <f>IF(I412=0,0,+(N412-I412)/I412)</f>
        <v>4.0180129999999897E-2</v>
      </c>
      <c r="R412" s="128"/>
      <c r="S412" s="128"/>
      <c r="T412" s="128"/>
    </row>
    <row r="413" spans="1:20" ht="14.1" customHeight="1" x14ac:dyDescent="0.2">
      <c r="A413" s="120">
        <v>17</v>
      </c>
      <c r="B413" s="276"/>
      <c r="C413" s="137"/>
      <c r="Q413" s="141"/>
      <c r="R413" s="128"/>
      <c r="S413" s="128"/>
      <c r="T413" s="128"/>
    </row>
    <row r="414" spans="1:20" ht="14.1" customHeight="1" x14ac:dyDescent="0.2">
      <c r="A414" s="120">
        <v>18</v>
      </c>
      <c r="B414" s="276"/>
      <c r="C414" s="137"/>
      <c r="E414" s="113" t="s">
        <v>1477</v>
      </c>
      <c r="I414" s="355">
        <f>'2027 GSLDSU Rate Class E-13c'!J41</f>
        <v>2.1503455751765129E-3</v>
      </c>
      <c r="J414" s="113" t="s">
        <v>1478</v>
      </c>
      <c r="L414" s="128"/>
      <c r="M414" s="128"/>
      <c r="N414" s="355">
        <f>'2027 GSLDSU Rate Class E-13c'!Q41</f>
        <v>2.2367467399320301E-3</v>
      </c>
      <c r="O414" s="113" t="s">
        <v>1478</v>
      </c>
      <c r="Q414" s="125">
        <f>IF(I414=0,0,+(N414-I414)/I414)</f>
        <v>4.0180130000000078E-2</v>
      </c>
      <c r="R414" s="128"/>
      <c r="S414" s="128"/>
      <c r="T414" s="128"/>
    </row>
    <row r="415" spans="1:20" ht="14.1" customHeight="1" x14ac:dyDescent="0.2">
      <c r="A415" s="120">
        <v>19</v>
      </c>
      <c r="B415" s="276"/>
      <c r="C415" s="137"/>
      <c r="I415" s="313"/>
      <c r="L415" s="128"/>
      <c r="M415" s="128"/>
      <c r="N415" s="313"/>
      <c r="Q415" s="364"/>
      <c r="R415" s="128"/>
      <c r="S415" s="128"/>
      <c r="T415" s="128"/>
    </row>
    <row r="416" spans="1:20" ht="14.1" customHeight="1" x14ac:dyDescent="0.2">
      <c r="A416" s="120">
        <v>20</v>
      </c>
      <c r="B416" s="276"/>
      <c r="C416" s="137"/>
      <c r="E416" s="113" t="s">
        <v>1479</v>
      </c>
      <c r="F416" s="124"/>
      <c r="G416" s="128"/>
      <c r="H416" s="128"/>
      <c r="I416" s="355">
        <f>'2027 GSLDSU Rate Class E-13c'!J45</f>
        <v>-1.0804692052611049E-3</v>
      </c>
      <c r="J416" s="113" t="s">
        <v>1478</v>
      </c>
      <c r="L416" s="128"/>
      <c r="M416" s="128"/>
      <c r="N416" s="355">
        <f>'2027 GSLDSU Rate Class E-13c'!Q45</f>
        <v>-1.1238825983894928E-3</v>
      </c>
      <c r="O416" s="113" t="s">
        <v>1478</v>
      </c>
      <c r="Q416" s="125">
        <f>IF(I416=0,0,+(N416-I416)/I416)</f>
        <v>4.0180129999999994E-2</v>
      </c>
      <c r="R416" s="128"/>
      <c r="S416" s="128"/>
      <c r="T416" s="128"/>
    </row>
    <row r="417" spans="1:20" ht="14.1" customHeight="1" x14ac:dyDescent="0.2">
      <c r="A417" s="120">
        <v>21</v>
      </c>
      <c r="B417" s="276"/>
      <c r="C417" s="137"/>
      <c r="R417" s="128"/>
      <c r="S417" s="128"/>
      <c r="T417" s="128"/>
    </row>
    <row r="418" spans="1:20" ht="14.1" customHeight="1" x14ac:dyDescent="0.2">
      <c r="A418" s="120">
        <v>22</v>
      </c>
      <c r="B418" s="276"/>
      <c r="C418" s="137"/>
      <c r="E418" s="342"/>
      <c r="H418" s="128"/>
      <c r="I418" s="288"/>
      <c r="J418" s="128"/>
      <c r="K418" s="128"/>
      <c r="L418" s="128"/>
      <c r="M418" s="128"/>
      <c r="N418" s="288"/>
      <c r="O418" s="128"/>
      <c r="Q418" s="128"/>
      <c r="R418" s="128"/>
      <c r="S418" s="128"/>
      <c r="T418" s="128"/>
    </row>
    <row r="419" spans="1:20" ht="14.1" customHeight="1" x14ac:dyDescent="0.2">
      <c r="A419" s="120">
        <v>23</v>
      </c>
      <c r="B419" s="276"/>
      <c r="C419" s="137"/>
      <c r="F419" s="147"/>
      <c r="G419" s="128"/>
      <c r="H419" s="128"/>
      <c r="I419" s="356"/>
      <c r="J419" s="128"/>
      <c r="K419" s="128"/>
      <c r="L419" s="128"/>
      <c r="M419" s="128"/>
      <c r="N419" s="356"/>
      <c r="O419" s="128"/>
      <c r="Q419" s="127"/>
      <c r="R419" s="128"/>
      <c r="S419" s="128"/>
      <c r="T419" s="128"/>
    </row>
    <row r="420" spans="1:20" ht="14.1" customHeight="1" x14ac:dyDescent="0.2">
      <c r="A420" s="120">
        <v>24</v>
      </c>
      <c r="B420" s="276"/>
      <c r="C420" s="137"/>
      <c r="F420" s="147"/>
      <c r="G420" s="128"/>
      <c r="H420" s="128"/>
      <c r="I420" s="356"/>
      <c r="J420" s="128"/>
      <c r="K420" s="128"/>
      <c r="L420" s="128"/>
      <c r="M420" s="128"/>
      <c r="N420" s="356"/>
      <c r="O420" s="128"/>
      <c r="Q420" s="127"/>
      <c r="R420" s="128"/>
      <c r="S420" s="128"/>
      <c r="T420" s="128"/>
    </row>
    <row r="421" spans="1:20" ht="14.1" customHeight="1" x14ac:dyDescent="0.2">
      <c r="A421" s="120">
        <v>25</v>
      </c>
      <c r="B421" s="276"/>
      <c r="C421" s="137"/>
      <c r="G421" s="124"/>
      <c r="H421" s="128"/>
      <c r="I421" s="351"/>
      <c r="J421" s="128"/>
      <c r="K421" s="128"/>
      <c r="L421" s="128"/>
      <c r="M421" s="128"/>
      <c r="N421" s="288"/>
      <c r="O421" s="128"/>
      <c r="Q421" s="127"/>
      <c r="R421" s="128"/>
      <c r="S421" s="128"/>
      <c r="T421" s="128"/>
    </row>
    <row r="422" spans="1:20" ht="14.1" customHeight="1" x14ac:dyDescent="0.2">
      <c r="A422" s="120">
        <v>26</v>
      </c>
      <c r="B422" s="276"/>
      <c r="C422" s="137"/>
      <c r="R422" s="128"/>
      <c r="S422" s="128"/>
      <c r="T422" s="128"/>
    </row>
    <row r="423" spans="1:20" ht="14.1" customHeight="1" x14ac:dyDescent="0.2">
      <c r="A423" s="120">
        <v>27</v>
      </c>
      <c r="B423" s="276"/>
      <c r="C423" s="137"/>
      <c r="R423" s="128"/>
      <c r="S423" s="128"/>
      <c r="T423" s="128"/>
    </row>
    <row r="424" spans="1:20" ht="14.1" customHeight="1" x14ac:dyDescent="0.2">
      <c r="A424" s="120">
        <v>28</v>
      </c>
      <c r="B424" s="276"/>
      <c r="C424" s="137"/>
      <c r="R424" s="128"/>
      <c r="S424" s="128"/>
      <c r="T424" s="128"/>
    </row>
    <row r="425" spans="1:20" ht="14.1" customHeight="1" x14ac:dyDescent="0.2">
      <c r="A425" s="120">
        <v>29</v>
      </c>
      <c r="B425" s="276"/>
      <c r="C425" s="137"/>
      <c r="F425" s="147"/>
      <c r="G425" s="128"/>
      <c r="H425" s="128"/>
      <c r="I425" s="356"/>
      <c r="J425" s="128"/>
      <c r="K425" s="128"/>
      <c r="L425" s="128"/>
      <c r="M425" s="128"/>
      <c r="N425" s="356"/>
      <c r="O425" s="128"/>
      <c r="Q425" s="127"/>
      <c r="R425" s="128"/>
      <c r="S425" s="128"/>
      <c r="T425" s="128"/>
    </row>
    <row r="426" spans="1:20" ht="14.1" customHeight="1" x14ac:dyDescent="0.2">
      <c r="A426" s="120">
        <v>30</v>
      </c>
      <c r="B426" s="276"/>
      <c r="C426" s="137"/>
      <c r="F426" s="147"/>
      <c r="G426" s="128"/>
      <c r="H426" s="128"/>
      <c r="I426" s="356"/>
      <c r="J426" s="128"/>
      <c r="K426" s="128"/>
      <c r="L426" s="128"/>
      <c r="M426" s="128"/>
      <c r="N426" s="356"/>
      <c r="O426" s="128"/>
      <c r="Q426" s="127"/>
      <c r="R426" s="128"/>
      <c r="S426" s="128"/>
      <c r="T426" s="128"/>
    </row>
    <row r="427" spans="1:20" ht="14.1" customHeight="1" x14ac:dyDescent="0.2">
      <c r="A427" s="120">
        <v>31</v>
      </c>
      <c r="B427" s="276"/>
      <c r="C427" s="137"/>
      <c r="F427" s="147"/>
      <c r="G427" s="128"/>
      <c r="H427" s="128"/>
      <c r="I427" s="356"/>
      <c r="J427" s="128"/>
      <c r="K427" s="128"/>
      <c r="L427" s="128"/>
      <c r="M427" s="128"/>
      <c r="N427" s="356"/>
      <c r="O427" s="128"/>
      <c r="Q427" s="127"/>
      <c r="R427" s="128"/>
      <c r="S427" s="128"/>
      <c r="T427" s="128"/>
    </row>
    <row r="428" spans="1:20" ht="14.1" customHeight="1" x14ac:dyDescent="0.2">
      <c r="A428" s="120">
        <v>32</v>
      </c>
      <c r="B428" s="276"/>
      <c r="C428" s="137"/>
      <c r="F428" s="147"/>
      <c r="G428" s="128"/>
      <c r="H428" s="128"/>
      <c r="I428" s="356"/>
      <c r="J428" s="128"/>
      <c r="K428" s="128"/>
      <c r="L428" s="128"/>
      <c r="M428" s="128"/>
      <c r="N428" s="356"/>
      <c r="O428" s="128"/>
      <c r="Q428" s="127"/>
      <c r="R428" s="128"/>
      <c r="S428" s="128"/>
      <c r="T428" s="128"/>
    </row>
    <row r="429" spans="1:20" ht="14.1" customHeight="1" x14ac:dyDescent="0.2">
      <c r="A429" s="120">
        <v>33</v>
      </c>
      <c r="B429" s="276"/>
      <c r="C429" s="137"/>
      <c r="F429" s="147"/>
      <c r="G429" s="128"/>
      <c r="H429" s="128"/>
      <c r="I429" s="356"/>
      <c r="J429" s="128"/>
      <c r="K429" s="128"/>
      <c r="L429" s="128"/>
      <c r="M429" s="128"/>
      <c r="N429" s="356"/>
      <c r="O429" s="128"/>
      <c r="Q429" s="127"/>
      <c r="R429" s="128"/>
      <c r="S429" s="128"/>
      <c r="T429" s="128"/>
    </row>
    <row r="430" spans="1:20" ht="14.1" customHeight="1" x14ac:dyDescent="0.2">
      <c r="A430" s="120">
        <v>34</v>
      </c>
      <c r="B430" s="276"/>
      <c r="C430" s="137"/>
      <c r="F430" s="147"/>
      <c r="G430" s="128"/>
      <c r="H430" s="128"/>
      <c r="I430" s="356"/>
      <c r="J430" s="128"/>
      <c r="K430" s="128"/>
      <c r="L430" s="128"/>
      <c r="M430" s="128"/>
      <c r="N430" s="356"/>
      <c r="O430" s="128"/>
      <c r="Q430" s="127"/>
      <c r="R430" s="128"/>
      <c r="S430" s="128"/>
      <c r="T430" s="128"/>
    </row>
    <row r="431" spans="1:20" ht="14.1" customHeight="1" x14ac:dyDescent="0.2">
      <c r="A431" s="120">
        <v>35</v>
      </c>
      <c r="B431" s="276"/>
      <c r="C431" s="137"/>
      <c r="F431" s="147"/>
      <c r="G431" s="128"/>
      <c r="H431" s="128"/>
      <c r="I431" s="356"/>
      <c r="J431" s="128"/>
      <c r="K431" s="128"/>
      <c r="L431" s="128"/>
      <c r="M431" s="128"/>
      <c r="N431" s="356"/>
      <c r="O431" s="128"/>
      <c r="Q431" s="127"/>
      <c r="R431" s="128"/>
      <c r="S431" s="128"/>
      <c r="T431" s="128"/>
    </row>
    <row r="432" spans="1:20" ht="14.1" customHeight="1" thickBot="1" x14ac:dyDescent="0.25">
      <c r="A432" s="370">
        <v>36</v>
      </c>
      <c r="B432" s="343"/>
      <c r="C432" s="344"/>
      <c r="D432" s="114"/>
      <c r="E432" s="114"/>
      <c r="F432" s="114"/>
      <c r="G432" s="114"/>
      <c r="H432" s="114"/>
      <c r="I432" s="358"/>
      <c r="J432" s="346"/>
      <c r="K432" s="346"/>
      <c r="L432" s="114"/>
      <c r="M432" s="114"/>
      <c r="N432" s="358"/>
      <c r="O432" s="346"/>
      <c r="P432" s="114"/>
      <c r="Q432" s="350"/>
      <c r="R432" s="346"/>
      <c r="S432" s="346"/>
      <c r="T432" s="346"/>
    </row>
    <row r="433" spans="1:20" ht="14.1" customHeight="1" x14ac:dyDescent="0.2">
      <c r="A433" s="113" t="str">
        <f>+$A$49</f>
        <v>Supporting Schedules:  E-7, E-14 Supplement</v>
      </c>
      <c r="R433" s="113" t="s">
        <v>1369</v>
      </c>
    </row>
    <row r="434" spans="1:20" ht="14.1" customHeight="1" thickBot="1" x14ac:dyDescent="0.25">
      <c r="A434" s="114" t="str">
        <f>+$A$2</f>
        <v>SCHEDULE A-3</v>
      </c>
      <c r="B434" s="114"/>
      <c r="C434" s="114"/>
      <c r="D434" s="114"/>
      <c r="E434" s="114"/>
      <c r="F434" s="114"/>
      <c r="G434" s="114"/>
      <c r="H434" s="114"/>
      <c r="I434" s="114" t="str">
        <f>+$I$2</f>
        <v>SUMMARY OF TARIFFS</v>
      </c>
      <c r="J434" s="114"/>
      <c r="K434" s="114"/>
      <c r="L434" s="114"/>
      <c r="M434" s="114"/>
      <c r="N434" s="114"/>
      <c r="O434" s="114"/>
      <c r="P434" s="114"/>
      <c r="Q434" s="114"/>
      <c r="R434" s="114"/>
      <c r="S434" s="114"/>
      <c r="T434" s="263" t="s">
        <v>1494</v>
      </c>
    </row>
    <row r="435" spans="1:20" ht="14.1" customHeight="1" x14ac:dyDescent="0.2">
      <c r="A435" s="113" t="s">
        <v>307</v>
      </c>
      <c r="F435" s="117" t="s">
        <v>1405</v>
      </c>
      <c r="G435" s="113" t="s">
        <v>1406</v>
      </c>
      <c r="L435" s="115"/>
      <c r="M435" s="115"/>
      <c r="O435" s="115"/>
      <c r="P435" s="115"/>
      <c r="Q435" s="115" t="s">
        <v>845</v>
      </c>
      <c r="T435" s="116"/>
    </row>
    <row r="436" spans="1:20" ht="14.1" customHeight="1" x14ac:dyDescent="0.2">
      <c r="G436" s="113" t="s">
        <v>1407</v>
      </c>
      <c r="L436" s="117"/>
      <c r="M436" s="116"/>
      <c r="P436" s="117"/>
      <c r="Q436" s="11" t="s">
        <v>916</v>
      </c>
      <c r="R436" s="10" t="s">
        <v>1512</v>
      </c>
      <c r="T436" s="117"/>
    </row>
    <row r="437" spans="1:20" ht="14.1" customHeight="1" x14ac:dyDescent="0.2">
      <c r="A437" s="113" t="s">
        <v>310</v>
      </c>
      <c r="L437" s="117"/>
      <c r="M437" s="116"/>
      <c r="N437" s="117"/>
      <c r="Q437" s="11"/>
      <c r="R437" s="10"/>
      <c r="T437" s="117"/>
    </row>
    <row r="438" spans="1:20" ht="14.1" customHeight="1" x14ac:dyDescent="0.2">
      <c r="L438" s="117"/>
      <c r="M438" s="116"/>
      <c r="N438" s="117"/>
      <c r="Q438" s="11"/>
      <c r="R438" s="10"/>
      <c r="T438" s="117"/>
    </row>
    <row r="439" spans="1:20" ht="14.1" customHeight="1" thickBot="1" x14ac:dyDescent="0.25">
      <c r="A439" s="114" t="s">
        <v>1521</v>
      </c>
      <c r="B439" s="114"/>
      <c r="C439" s="114"/>
      <c r="D439" s="114"/>
      <c r="E439" s="114"/>
      <c r="F439" s="114"/>
      <c r="G439" s="114"/>
      <c r="H439" s="114"/>
      <c r="I439" s="118"/>
      <c r="J439" s="114"/>
      <c r="K439" s="114"/>
      <c r="L439" s="114"/>
      <c r="M439" s="114"/>
      <c r="N439" s="114"/>
      <c r="O439" s="114"/>
      <c r="P439" s="114"/>
      <c r="Q439" s="114"/>
      <c r="R439" s="114" t="s">
        <v>1519</v>
      </c>
      <c r="S439" s="114"/>
      <c r="T439" s="114"/>
    </row>
    <row r="440" spans="1:20" ht="14.1" customHeight="1" x14ac:dyDescent="0.2">
      <c r="A440" s="113" t="str">
        <f>IF(+A$8="","",A$8)</f>
        <v/>
      </c>
      <c r="B440" s="120" t="str">
        <f t="shared" ref="B440:T440" si="46">IF(+B$8="","",B$8)</f>
        <v/>
      </c>
      <c r="C440" s="120" t="str">
        <f t="shared" si="46"/>
        <v>(1)</v>
      </c>
      <c r="D440" s="120" t="str">
        <f t="shared" si="46"/>
        <v/>
      </c>
      <c r="E440" s="120" t="str">
        <f t="shared" si="46"/>
        <v/>
      </c>
      <c r="F440" s="120" t="str">
        <f t="shared" si="46"/>
        <v>(2)</v>
      </c>
      <c r="G440" s="120" t="str">
        <f t="shared" si="46"/>
        <v/>
      </c>
      <c r="H440" s="120" t="str">
        <f>IF(+H$8="","",H$8)</f>
        <v/>
      </c>
      <c r="I440" s="120" t="str">
        <f>IF(+I$8="","",I$8)</f>
        <v>(3)</v>
      </c>
      <c r="J440" s="120" t="str">
        <f>IF(+J$8="","",J$8)</f>
        <v/>
      </c>
      <c r="K440" s="120"/>
      <c r="L440" s="120" t="str">
        <f t="shared" si="46"/>
        <v>(4)</v>
      </c>
      <c r="M440" s="120" t="str">
        <f t="shared" si="46"/>
        <v/>
      </c>
      <c r="N440" s="120" t="str">
        <f t="shared" si="46"/>
        <v>(5)</v>
      </c>
      <c r="O440" s="120" t="str">
        <f t="shared" si="46"/>
        <v/>
      </c>
      <c r="Q440" s="120" t="str">
        <f>IF(+Q$8="","",Q$8)</f>
        <v>(6)</v>
      </c>
      <c r="R440" s="120" t="str">
        <f t="shared" si="46"/>
        <v/>
      </c>
      <c r="S440" s="120" t="str">
        <f t="shared" si="46"/>
        <v/>
      </c>
      <c r="T440" s="120" t="str">
        <f t="shared" si="46"/>
        <v/>
      </c>
    </row>
    <row r="441" spans="1:20" ht="14.1" customHeight="1" x14ac:dyDescent="0.2">
      <c r="A441" s="113" t="str">
        <f>IF(+A$9="","",A$9)</f>
        <v/>
      </c>
      <c r="B441" s="120" t="str">
        <f t="shared" ref="B441:T441" si="47">IF(+B$9="","",B$9)</f>
        <v/>
      </c>
      <c r="C441" s="120" t="str">
        <f t="shared" si="47"/>
        <v/>
      </c>
      <c r="D441" s="120" t="str">
        <f t="shared" si="47"/>
        <v/>
      </c>
      <c r="E441" s="120" t="str">
        <f t="shared" si="47"/>
        <v/>
      </c>
      <c r="F441" s="120" t="str">
        <f t="shared" si="47"/>
        <v/>
      </c>
      <c r="G441" s="120" t="str">
        <f t="shared" si="47"/>
        <v/>
      </c>
      <c r="H441" s="120" t="str">
        <f>IF(+H$9="","",H$9)</f>
        <v/>
      </c>
      <c r="I441" s="120" t="str">
        <f>IF(+I$9="","",I$9)</f>
        <v/>
      </c>
      <c r="J441" s="120" t="str">
        <f>IF(+J$9="","",J$9)</f>
        <v/>
      </c>
      <c r="K441" s="120"/>
      <c r="L441" s="120" t="str">
        <f t="shared" si="47"/>
        <v/>
      </c>
      <c r="M441" s="120" t="str">
        <f t="shared" si="47"/>
        <v/>
      </c>
      <c r="N441" s="120" t="str">
        <f t="shared" si="47"/>
        <v/>
      </c>
      <c r="O441" s="120" t="str">
        <f t="shared" si="47"/>
        <v/>
      </c>
      <c r="Q441" s="120" t="str">
        <f>IF(+Q$9="","",Q$9)</f>
        <v/>
      </c>
      <c r="R441" s="120" t="str">
        <f t="shared" si="47"/>
        <v/>
      </c>
      <c r="S441" s="120" t="str">
        <f t="shared" si="47"/>
        <v/>
      </c>
      <c r="T441" s="120" t="str">
        <f t="shared" si="47"/>
        <v/>
      </c>
    </row>
    <row r="442" spans="1:20" ht="14.1" customHeight="1" x14ac:dyDescent="0.2">
      <c r="A442" s="113" t="str">
        <f>IF(+A$10="","",A$10)</f>
        <v/>
      </c>
      <c r="B442" s="120" t="str">
        <f t="shared" ref="B442:T442" si="48">IF(+B$10="","",B$10)</f>
        <v/>
      </c>
      <c r="C442" s="120" t="str">
        <f t="shared" si="48"/>
        <v xml:space="preserve">Current </v>
      </c>
      <c r="D442" s="120" t="str">
        <f t="shared" si="48"/>
        <v/>
      </c>
      <c r="E442" s="120" t="str">
        <f t="shared" si="48"/>
        <v/>
      </c>
      <c r="F442" s="120" t="str">
        <f t="shared" si="48"/>
        <v/>
      </c>
      <c r="G442" s="120" t="str">
        <f t="shared" si="48"/>
        <v/>
      </c>
      <c r="H442" s="120" t="str">
        <f>IF(+H$10="","",H$10)</f>
        <v/>
      </c>
      <c r="I442" s="120" t="str">
        <f>IF(+I$10="","",I$10)</f>
        <v/>
      </c>
      <c r="J442" s="120" t="str">
        <f>IF(+J$10="","",J$10)</f>
        <v/>
      </c>
      <c r="K442" s="120"/>
      <c r="L442" s="120" t="str">
        <f t="shared" si="48"/>
        <v>Proposed</v>
      </c>
      <c r="M442" s="120" t="str">
        <f t="shared" si="48"/>
        <v/>
      </c>
      <c r="N442" s="120" t="str">
        <f t="shared" si="48"/>
        <v/>
      </c>
      <c r="O442" s="120" t="str">
        <f t="shared" si="48"/>
        <v/>
      </c>
      <c r="Q442" s="120" t="str">
        <f>IF(+Q$10="","",Q$10)</f>
        <v>Percent</v>
      </c>
      <c r="R442" s="120" t="str">
        <f t="shared" si="48"/>
        <v/>
      </c>
      <c r="S442" s="120" t="str">
        <f t="shared" si="48"/>
        <v/>
      </c>
      <c r="T442" s="120" t="str">
        <f t="shared" si="48"/>
        <v/>
      </c>
    </row>
    <row r="443" spans="1:20" ht="14.1" customHeight="1" x14ac:dyDescent="0.2">
      <c r="A443" s="120" t="str">
        <f>IF(+A$11="","",A$11)</f>
        <v>Line</v>
      </c>
      <c r="B443" s="120" t="str">
        <f t="shared" ref="B443:T443" si="49">IF(+B$11="","",B$11)</f>
        <v/>
      </c>
      <c r="C443" s="120" t="str">
        <f t="shared" si="49"/>
        <v>Rate</v>
      </c>
      <c r="D443" s="120" t="str">
        <f t="shared" si="49"/>
        <v/>
      </c>
      <c r="E443" s="120" t="str">
        <f t="shared" si="49"/>
        <v/>
      </c>
      <c r="F443" s="120" t="str">
        <f t="shared" si="49"/>
        <v/>
      </c>
      <c r="G443" s="120" t="str">
        <f t="shared" si="49"/>
        <v/>
      </c>
      <c r="H443" s="120" t="str">
        <f>IF(+H$11="","",H$11)</f>
        <v/>
      </c>
      <c r="I443" s="120" t="str">
        <f>IF(+I$11="","",I$11)</f>
        <v>Current</v>
      </c>
      <c r="J443" s="120" t="str">
        <f>IF(+J$11="","",J$11)</f>
        <v/>
      </c>
      <c r="K443" s="120"/>
      <c r="L443" s="120" t="str">
        <f t="shared" si="49"/>
        <v>Rate</v>
      </c>
      <c r="M443" s="120" t="str">
        <f t="shared" si="49"/>
        <v/>
      </c>
      <c r="N443" s="120" t="str">
        <f t="shared" si="49"/>
        <v>Proposed</v>
      </c>
      <c r="O443" s="120" t="str">
        <f t="shared" si="49"/>
        <v/>
      </c>
      <c r="Q443" s="120" t="str">
        <f>IF(+Q$11="","",Q$11)</f>
        <v>Increase</v>
      </c>
      <c r="R443" s="120" t="str">
        <f t="shared" si="49"/>
        <v/>
      </c>
      <c r="S443" s="120" t="str">
        <f t="shared" si="49"/>
        <v/>
      </c>
      <c r="T443" s="120" t="str">
        <f t="shared" si="49"/>
        <v/>
      </c>
    </row>
    <row r="444" spans="1:20" ht="14.1" customHeight="1" thickBot="1" x14ac:dyDescent="0.25">
      <c r="A444" s="118" t="str">
        <f>IF(+A$12="","",A$12)</f>
        <v>No.</v>
      </c>
      <c r="B444" s="118" t="str">
        <f t="shared" ref="B444:T444" si="50">IF(+B$12="","",B$12)</f>
        <v/>
      </c>
      <c r="C444" s="118" t="str">
        <f t="shared" si="50"/>
        <v>Schedule</v>
      </c>
      <c r="D444" s="118" t="str">
        <f t="shared" si="50"/>
        <v/>
      </c>
      <c r="E444" s="118"/>
      <c r="F444" s="118" t="str">
        <f t="shared" si="50"/>
        <v>Type of Charge</v>
      </c>
      <c r="G444" s="118"/>
      <c r="H444" s="118" t="str">
        <f>IF(+H$12="","",H$12)</f>
        <v/>
      </c>
      <c r="I444" s="118" t="str">
        <f>IF(+I$12="","",I$12)</f>
        <v>Rate</v>
      </c>
      <c r="J444" s="118" t="str">
        <f>IF(+J$12="","",J$12)</f>
        <v/>
      </c>
      <c r="K444" s="118"/>
      <c r="L444" s="118" t="str">
        <f t="shared" si="50"/>
        <v>Schedule</v>
      </c>
      <c r="M444" s="118" t="str">
        <f t="shared" si="50"/>
        <v/>
      </c>
      <c r="N444" s="118" t="str">
        <f t="shared" si="50"/>
        <v>Rate</v>
      </c>
      <c r="O444" s="118" t="str">
        <f t="shared" si="50"/>
        <v/>
      </c>
      <c r="P444" s="114"/>
      <c r="Q444" s="118" t="str">
        <f>IF(+Q$12="","",Q$12)</f>
        <v>((5)-(3))/(3)</v>
      </c>
      <c r="R444" s="118" t="str">
        <f t="shared" si="50"/>
        <v/>
      </c>
      <c r="S444" s="118" t="str">
        <f t="shared" si="50"/>
        <v/>
      </c>
      <c r="T444" s="118" t="str">
        <f t="shared" si="50"/>
        <v/>
      </c>
    </row>
    <row r="445" spans="1:20" ht="14.1" customHeight="1" x14ac:dyDescent="0.2">
      <c r="A445" s="120">
        <v>1</v>
      </c>
      <c r="B445" s="340"/>
      <c r="C445" s="305" t="s">
        <v>458</v>
      </c>
      <c r="D445" s="137"/>
      <c r="G445" s="124"/>
      <c r="H445" s="137"/>
      <c r="J445" s="137"/>
      <c r="K445" s="137"/>
      <c r="L445" s="305" t="s">
        <v>458</v>
      </c>
      <c r="M445" s="137"/>
      <c r="N445" s="137"/>
      <c r="O445" s="137"/>
      <c r="Q445" s="137"/>
      <c r="R445" s="137"/>
      <c r="S445" s="137"/>
      <c r="T445" s="137"/>
    </row>
    <row r="446" spans="1:20" ht="14.1" customHeight="1" x14ac:dyDescent="0.2">
      <c r="A446" s="120">
        <v>2</v>
      </c>
      <c r="B446" s="340"/>
      <c r="C446" s="305"/>
      <c r="D446" s="137"/>
      <c r="E446" s="330" t="s">
        <v>326</v>
      </c>
      <c r="G446" s="124"/>
      <c r="H446" s="137"/>
      <c r="J446" s="137"/>
      <c r="K446" s="137"/>
      <c r="L446" s="305"/>
      <c r="M446" s="137"/>
      <c r="N446" s="137"/>
      <c r="O446" s="137"/>
      <c r="Q446" s="137"/>
      <c r="R446" s="137"/>
      <c r="S446" s="137"/>
      <c r="T446" s="137"/>
    </row>
    <row r="447" spans="1:20" ht="14.1" customHeight="1" x14ac:dyDescent="0.2">
      <c r="A447" s="120">
        <v>3</v>
      </c>
      <c r="B447" s="276"/>
      <c r="F447" s="147" t="s">
        <v>327</v>
      </c>
      <c r="G447" s="124"/>
      <c r="H447" s="137"/>
      <c r="I447" s="288">
        <f>'2027 GSLDPR Rate Class E-13c'!J73</f>
        <v>23.558466151999998</v>
      </c>
      <c r="J447" s="137" t="s">
        <v>1414</v>
      </c>
      <c r="K447" s="137"/>
      <c r="L447" s="137"/>
      <c r="M447" s="137"/>
      <c r="N447" s="288">
        <f>'2027 GSLDPR Rate Class E-13c'!Q73</f>
        <v>24.505048266795626</v>
      </c>
      <c r="O447" s="137" t="s">
        <v>1414</v>
      </c>
      <c r="Q447" s="125">
        <f>IF(I447=0,0,+(N447-I447)/I447)</f>
        <v>4.0180124999999976E-2</v>
      </c>
      <c r="R447" s="137"/>
      <c r="S447" s="137"/>
      <c r="T447" s="137"/>
    </row>
    <row r="448" spans="1:20" ht="14.1" customHeight="1" x14ac:dyDescent="0.2">
      <c r="A448" s="120">
        <v>4</v>
      </c>
      <c r="B448" s="276"/>
      <c r="F448" s="113" t="s">
        <v>1495</v>
      </c>
      <c r="H448" s="128"/>
      <c r="I448" s="288">
        <f>'2027 GSLDPR Rate Class E-13c'!J74</f>
        <v>23.558466151999998</v>
      </c>
      <c r="J448" s="137" t="s">
        <v>1414</v>
      </c>
      <c r="K448" s="137"/>
      <c r="L448" s="128"/>
      <c r="M448" s="122"/>
      <c r="N448" s="288">
        <f>'2027 GSLDPR Rate Class E-13c'!Q74</f>
        <v>24.505048266795626</v>
      </c>
      <c r="O448" s="137" t="s">
        <v>1414</v>
      </c>
      <c r="Q448" s="125">
        <f>IF(I448=0,0,+(N448-I448)/I448)</f>
        <v>4.0180124999999976E-2</v>
      </c>
      <c r="R448" s="128"/>
      <c r="S448" s="128"/>
      <c r="T448" s="128"/>
    </row>
    <row r="449" spans="1:20" ht="14.1" customHeight="1" x14ac:dyDescent="0.2">
      <c r="A449" s="120">
        <v>5</v>
      </c>
      <c r="B449" s="276"/>
      <c r="C449" s="124"/>
      <c r="Q449" s="141"/>
      <c r="R449" s="128"/>
      <c r="S449" s="128"/>
      <c r="T449" s="128"/>
    </row>
    <row r="450" spans="1:20" ht="14.1" customHeight="1" x14ac:dyDescent="0.2">
      <c r="A450" s="120">
        <v>6</v>
      </c>
      <c r="B450" s="276"/>
      <c r="C450" s="124"/>
      <c r="E450" s="116" t="s">
        <v>1452</v>
      </c>
      <c r="G450" s="137"/>
      <c r="H450" s="128"/>
      <c r="I450" s="288"/>
      <c r="J450" s="128"/>
      <c r="K450" s="128"/>
      <c r="L450" s="128"/>
      <c r="M450" s="122"/>
      <c r="N450" s="288"/>
      <c r="O450" s="128"/>
      <c r="Q450" s="364"/>
      <c r="R450" s="128"/>
      <c r="S450" s="128"/>
      <c r="T450" s="128"/>
    </row>
    <row r="451" spans="1:20" ht="14.1" customHeight="1" x14ac:dyDescent="0.2">
      <c r="A451" s="120">
        <v>7</v>
      </c>
      <c r="B451" s="276"/>
      <c r="C451" s="124"/>
      <c r="F451" s="147" t="s">
        <v>327</v>
      </c>
      <c r="G451" s="137"/>
      <c r="H451" s="128"/>
      <c r="I451" s="351">
        <f>'2027 GSLDPR Rate Class E-13c'!J92</f>
        <v>13.769143534856953</v>
      </c>
      <c r="J451" s="128" t="s">
        <v>1355</v>
      </c>
      <c r="K451" s="128"/>
      <c r="L451" s="128"/>
      <c r="M451" s="122"/>
      <c r="N451" s="351">
        <f>'2027 GSLDPR Rate Class E-13c'!Q92</f>
        <v>14.322389443230447</v>
      </c>
      <c r="O451" s="128" t="s">
        <v>1355</v>
      </c>
      <c r="Q451" s="125">
        <f>IF(I451=0,0,+(N451-I451)/I451)</f>
        <v>4.0180124999999997E-2</v>
      </c>
      <c r="R451" s="128"/>
      <c r="S451" s="128"/>
      <c r="T451" s="128"/>
    </row>
    <row r="452" spans="1:20" ht="14.1" customHeight="1" x14ac:dyDescent="0.2">
      <c r="A452" s="120">
        <v>8</v>
      </c>
      <c r="B452" s="276"/>
      <c r="C452" s="124"/>
      <c r="F452" s="113" t="s">
        <v>1496</v>
      </c>
      <c r="I452" s="351">
        <f>'2027 GSLDPR Rate Class E-13c'!J93</f>
        <v>3.0986211940935928</v>
      </c>
      <c r="J452" s="128" t="s">
        <v>1355</v>
      </c>
      <c r="K452" s="128"/>
      <c r="N452" s="351">
        <f>'2027 GSLDPR Rate Class E-13c'!Q93</f>
        <v>3.2231241809999225</v>
      </c>
      <c r="O452" s="128" t="s">
        <v>1355</v>
      </c>
      <c r="Q452" s="125">
        <f>IF(I452=0,0,+(N452-I452)/I452)</f>
        <v>4.0180124999999949E-2</v>
      </c>
      <c r="R452" s="128"/>
      <c r="S452" s="128"/>
      <c r="T452" s="128"/>
    </row>
    <row r="453" spans="1:20" ht="14.1" customHeight="1" x14ac:dyDescent="0.2">
      <c r="A453" s="120">
        <v>9</v>
      </c>
      <c r="B453" s="276"/>
      <c r="C453" s="137"/>
      <c r="F453" s="113" t="s">
        <v>1497</v>
      </c>
      <c r="I453" s="351">
        <f>'2027 GSLDPR Rate Class E-13c'!J94</f>
        <v>10.665225923013358</v>
      </c>
      <c r="J453" s="128" t="s">
        <v>1355</v>
      </c>
      <c r="K453" s="128"/>
      <c r="N453" s="351">
        <f>'2027 GSLDPR Rate Class E-13c'!Q94</f>
        <v>11.093756033753275</v>
      </c>
      <c r="O453" s="128" t="s">
        <v>1355</v>
      </c>
      <c r="Q453" s="125">
        <f>IF(I453=0,0,+(N453-I453)/I453)</f>
        <v>4.0180124999999997E-2</v>
      </c>
      <c r="R453" s="128"/>
      <c r="S453" s="128"/>
      <c r="T453" s="128"/>
    </row>
    <row r="454" spans="1:20" ht="14.1" customHeight="1" x14ac:dyDescent="0.2">
      <c r="A454" s="120">
        <v>10</v>
      </c>
      <c r="B454" s="276"/>
      <c r="C454" s="137"/>
      <c r="I454" s="359"/>
      <c r="J454" s="128"/>
      <c r="K454" s="128"/>
      <c r="N454" s="359"/>
      <c r="O454" s="128"/>
      <c r="Q454" s="125"/>
      <c r="R454" s="128"/>
      <c r="S454" s="128"/>
      <c r="T454" s="128"/>
    </row>
    <row r="455" spans="1:20" ht="14.1" customHeight="1" x14ac:dyDescent="0.2">
      <c r="A455" s="120">
        <v>11</v>
      </c>
      <c r="B455" s="276"/>
      <c r="C455" s="137"/>
      <c r="E455" s="342" t="s">
        <v>1456</v>
      </c>
      <c r="Q455" s="141"/>
      <c r="R455" s="128"/>
      <c r="S455" s="128"/>
      <c r="T455" s="128"/>
    </row>
    <row r="456" spans="1:20" ht="14.1" customHeight="1" x14ac:dyDescent="0.2">
      <c r="A456" s="120">
        <v>12</v>
      </c>
      <c r="B456" s="276"/>
      <c r="C456" s="137"/>
      <c r="F456" s="147" t="s">
        <v>327</v>
      </c>
      <c r="I456" s="355">
        <f>'2027 GSLDPR Rate Class E-13c'!J78</f>
        <v>1.1258489282820002E-2</v>
      </c>
      <c r="J456" s="334" t="s">
        <v>1418</v>
      </c>
      <c r="K456" s="128"/>
      <c r="N456" s="355">
        <f>'2027 GSLDPR Rate Class E-13c'!Q78</f>
        <v>1.1710856789514871E-2</v>
      </c>
      <c r="O456" s="334" t="s">
        <v>1418</v>
      </c>
      <c r="Q456" s="125">
        <f>IF(I456=0,0,+(N456-I456)/I456)</f>
        <v>4.0180125000000066E-2</v>
      </c>
      <c r="R456" s="128"/>
      <c r="S456" s="128"/>
      <c r="T456" s="128"/>
    </row>
    <row r="457" spans="1:20" ht="14.1" customHeight="1" x14ac:dyDescent="0.2">
      <c r="A457" s="120">
        <v>13</v>
      </c>
      <c r="B457" s="276"/>
      <c r="C457" s="137"/>
      <c r="F457" s="113" t="s">
        <v>1439</v>
      </c>
      <c r="I457" s="355">
        <f>'2027 GSLDPR Rate Class E-13c'!J79</f>
        <v>1.8270734527110002E-2</v>
      </c>
      <c r="J457" s="334" t="s">
        <v>1418</v>
      </c>
      <c r="K457" s="128"/>
      <c r="N457" s="355">
        <f>'2027 GSLDPR Rate Class E-13c'!Q79</f>
        <v>1.9004854924251097E-2</v>
      </c>
      <c r="O457" s="334" t="s">
        <v>1418</v>
      </c>
      <c r="Q457" s="125">
        <f>IF(I457=0,0,+(N457-I457)/I457)</f>
        <v>4.018012499999999E-2</v>
      </c>
      <c r="R457" s="128"/>
      <c r="S457" s="128"/>
      <c r="T457" s="128"/>
    </row>
    <row r="458" spans="1:20" ht="14.1" customHeight="1" x14ac:dyDescent="0.2">
      <c r="A458" s="120">
        <v>14</v>
      </c>
      <c r="B458" s="276"/>
      <c r="C458" s="137"/>
      <c r="F458" s="113" t="s">
        <v>1440</v>
      </c>
      <c r="I458" s="355">
        <f>'2027 GSLDPR Rate Class E-13c'!J80</f>
        <v>1.1099384893610002E-2</v>
      </c>
      <c r="J458" s="334" t="s">
        <v>1418</v>
      </c>
      <c r="K458" s="128"/>
      <c r="N458" s="355">
        <f>'2027 GSLDPR Rate Class E-13c'!Q80</f>
        <v>1.1545359566058363E-2</v>
      </c>
      <c r="O458" s="334" t="s">
        <v>1418</v>
      </c>
      <c r="Q458" s="125">
        <f>+(N458-I458)/I458</f>
        <v>4.0180124999999935E-2</v>
      </c>
      <c r="R458" s="128"/>
      <c r="S458" s="128"/>
      <c r="T458" s="128"/>
    </row>
    <row r="459" spans="1:20" ht="14.1" customHeight="1" x14ac:dyDescent="0.2">
      <c r="A459" s="120">
        <v>15</v>
      </c>
      <c r="B459" s="276"/>
      <c r="C459" s="137"/>
      <c r="F459" s="113" t="s">
        <v>1441</v>
      </c>
      <c r="I459" s="355">
        <f>'2027 GSLDPR Rate Class E-13c'!J81</f>
        <v>6.671579654610002E-3</v>
      </c>
      <c r="J459" s="334" t="s">
        <v>1418</v>
      </c>
      <c r="N459" s="355">
        <f>'2027 GSLDPR Rate Class E-13c'!Q81</f>
        <v>6.9396445590796888E-3</v>
      </c>
      <c r="O459" s="334" t="s">
        <v>1418</v>
      </c>
      <c r="Q459" s="125">
        <f>+(N459-I459)/I459</f>
        <v>4.0180125000000011E-2</v>
      </c>
      <c r="R459" s="128"/>
      <c r="S459" s="128"/>
      <c r="T459" s="128"/>
    </row>
    <row r="460" spans="1:20" ht="14.1" customHeight="1" x14ac:dyDescent="0.2">
      <c r="A460" s="120">
        <v>16</v>
      </c>
      <c r="B460" s="276"/>
      <c r="C460" s="137"/>
      <c r="Q460" s="141"/>
      <c r="R460" s="128"/>
      <c r="S460" s="128"/>
      <c r="T460" s="128"/>
    </row>
    <row r="461" spans="1:20" ht="14.1" customHeight="1" x14ac:dyDescent="0.2">
      <c r="A461" s="120">
        <v>17</v>
      </c>
      <c r="B461" s="276"/>
      <c r="C461" s="137"/>
      <c r="E461" s="116" t="s">
        <v>1498</v>
      </c>
      <c r="G461" s="137"/>
      <c r="H461" s="128"/>
      <c r="I461" s="288"/>
      <c r="J461" s="128"/>
      <c r="K461" s="128"/>
      <c r="L461" s="128"/>
      <c r="M461" s="128"/>
      <c r="N461" s="288"/>
      <c r="O461" s="128"/>
      <c r="Q461" s="364"/>
      <c r="R461" s="128"/>
      <c r="S461" s="128"/>
      <c r="T461" s="128"/>
    </row>
    <row r="462" spans="1:20" ht="14.1" customHeight="1" x14ac:dyDescent="0.2">
      <c r="A462" s="120">
        <v>18</v>
      </c>
      <c r="B462" s="276"/>
      <c r="C462" s="137"/>
      <c r="F462" s="113" t="s">
        <v>1462</v>
      </c>
      <c r="G462" s="137"/>
      <c r="H462" s="128"/>
      <c r="I462" s="351">
        <f>'2027 GSLDPR Rate Class E-13c'!J98</f>
        <v>1.8082605268648162</v>
      </c>
      <c r="J462" s="128" t="s">
        <v>1355</v>
      </c>
      <c r="K462" s="128"/>
      <c r="L462" s="128"/>
      <c r="M462" s="128"/>
      <c r="N462" s="351">
        <f>'2027 GSLDPR Rate Class E-13c'!Q98</f>
        <v>1.8809166608668104</v>
      </c>
      <c r="O462" s="128" t="s">
        <v>1355</v>
      </c>
      <c r="Q462" s="125">
        <f>IF(I462=0,0,+(N462-I462)/I462)</f>
        <v>4.0180125000000025E-2</v>
      </c>
      <c r="R462" s="128"/>
      <c r="S462" s="128"/>
      <c r="T462" s="128"/>
    </row>
    <row r="463" spans="1:20" ht="14.1" customHeight="1" x14ac:dyDescent="0.2">
      <c r="A463" s="120">
        <v>19</v>
      </c>
      <c r="B463" s="276"/>
      <c r="C463" s="137"/>
      <c r="F463" s="113" t="s">
        <v>1463</v>
      </c>
      <c r="L463" s="128"/>
      <c r="M463" s="128"/>
      <c r="Q463" s="364"/>
      <c r="R463" s="128"/>
      <c r="S463" s="128"/>
      <c r="T463" s="128"/>
    </row>
    <row r="464" spans="1:20" ht="14.1" customHeight="1" x14ac:dyDescent="0.2">
      <c r="A464" s="120">
        <v>20</v>
      </c>
      <c r="B464" s="276"/>
      <c r="C464" s="137"/>
      <c r="F464" s="113" t="s">
        <v>1464</v>
      </c>
      <c r="I464" s="351">
        <f>'2027 GSLDPR Rate Class E-13c'!J99</f>
        <v>1.6502571798572108</v>
      </c>
      <c r="J464" s="113" t="s">
        <v>1465</v>
      </c>
      <c r="L464" s="128"/>
      <c r="M464" s="128"/>
      <c r="N464" s="351">
        <f>'2027 GSLDPR Rate Class E-13c'!Q99</f>
        <v>1.716564719626021</v>
      </c>
      <c r="O464" s="113" t="s">
        <v>1465</v>
      </c>
      <c r="Q464" s="125">
        <f>IF(I464=0,0,+(N464-I464)/I464)</f>
        <v>4.0180124999999997E-2</v>
      </c>
      <c r="R464" s="128"/>
      <c r="S464" s="128"/>
      <c r="T464" s="128"/>
    </row>
    <row r="465" spans="1:20" ht="14.1" customHeight="1" x14ac:dyDescent="0.2">
      <c r="A465" s="120">
        <v>21</v>
      </c>
      <c r="B465" s="276"/>
      <c r="C465" s="137"/>
      <c r="F465" s="113" t="s">
        <v>1466</v>
      </c>
      <c r="I465" s="351">
        <f>'2027 GSLDPR Rate Class E-13c'!J100</f>
        <v>0.65834727919835545</v>
      </c>
      <c r="J465" s="113" t="s">
        <v>1467</v>
      </c>
      <c r="L465" s="128"/>
      <c r="M465" s="128"/>
      <c r="N465" s="351">
        <f>'2027 GSLDPR Rate Class E-13c'!Q100</f>
        <v>0.68479975516995528</v>
      </c>
      <c r="O465" s="113" t="s">
        <v>1467</v>
      </c>
      <c r="Q465" s="125">
        <f>IF(I465=0,0,+(N465-I465)/I465)</f>
        <v>4.0180125000000018E-2</v>
      </c>
      <c r="R465" s="128"/>
      <c r="S465" s="128"/>
      <c r="T465" s="128"/>
    </row>
    <row r="466" spans="1:20" ht="14.1" customHeight="1" x14ac:dyDescent="0.2">
      <c r="A466" s="120">
        <v>22</v>
      </c>
      <c r="B466" s="276"/>
      <c r="C466" s="137"/>
      <c r="G466" s="124"/>
      <c r="H466" s="128"/>
      <c r="I466" s="321"/>
      <c r="J466" s="128"/>
      <c r="K466" s="128"/>
      <c r="L466" s="128"/>
      <c r="M466" s="128"/>
      <c r="N466" s="321"/>
      <c r="O466" s="128"/>
      <c r="Q466" s="125"/>
      <c r="R466" s="128"/>
      <c r="S466" s="128"/>
      <c r="T466" s="128"/>
    </row>
    <row r="467" spans="1:20" ht="14.1" customHeight="1" x14ac:dyDescent="0.2">
      <c r="A467" s="120">
        <v>23</v>
      </c>
      <c r="B467" s="276"/>
      <c r="C467" s="137"/>
      <c r="E467" s="342" t="s">
        <v>1468</v>
      </c>
      <c r="G467" s="124"/>
      <c r="H467" s="128"/>
      <c r="J467" s="128"/>
      <c r="K467" s="128"/>
      <c r="L467" s="128"/>
      <c r="M467" s="128"/>
      <c r="O467" s="128"/>
      <c r="Q467" s="364"/>
      <c r="R467" s="128"/>
      <c r="S467" s="128"/>
      <c r="T467" s="128"/>
    </row>
    <row r="468" spans="1:20" ht="14.1" customHeight="1" x14ac:dyDescent="0.2">
      <c r="A468" s="120">
        <v>24</v>
      </c>
      <c r="B468" s="276"/>
      <c r="C468" s="137"/>
      <c r="F468" s="147" t="s">
        <v>327</v>
      </c>
      <c r="I468" s="355">
        <f>'2027 GSLDPR Rate Class E-13c'!J85</f>
        <v>9.2596212239699997E-3</v>
      </c>
      <c r="J468" s="334" t="s">
        <v>1418</v>
      </c>
      <c r="N468" s="355">
        <f>'2027 GSLDPR Rate Class E-13c'!Q85</f>
        <v>9.6316739622017665E-3</v>
      </c>
      <c r="O468" s="334" t="s">
        <v>1418</v>
      </c>
      <c r="Q468" s="125">
        <f>IF(I468=0,0,+(N468-I468)/I468)</f>
        <v>4.0180124999999921E-2</v>
      </c>
      <c r="R468" s="128"/>
      <c r="S468" s="128"/>
      <c r="T468" s="128"/>
    </row>
    <row r="469" spans="1:20" ht="14.1" customHeight="1" x14ac:dyDescent="0.2">
      <c r="A469" s="120">
        <v>25</v>
      </c>
      <c r="B469" s="276"/>
      <c r="C469" s="137"/>
      <c r="F469" s="113" t="s">
        <v>1499</v>
      </c>
      <c r="I469" s="355">
        <f>'2027 GSLDPR Rate Class E-13c'!J86</f>
        <v>9.2596212239699997E-3</v>
      </c>
      <c r="J469" s="334" t="s">
        <v>1418</v>
      </c>
      <c r="K469" s="128"/>
      <c r="L469" s="128"/>
      <c r="M469" s="128"/>
      <c r="N469" s="355">
        <f>'2027 GSLDPR Rate Class E-13c'!Q86</f>
        <v>9.6316739622017665E-3</v>
      </c>
      <c r="O469" s="334" t="s">
        <v>1418</v>
      </c>
      <c r="Q469" s="125">
        <f>IF(I469=0,0,+(N469-I469)/I469)</f>
        <v>4.0180124999999921E-2</v>
      </c>
      <c r="R469" s="128"/>
      <c r="S469" s="128"/>
      <c r="T469" s="128"/>
    </row>
    <row r="470" spans="1:20" ht="14.1" customHeight="1" x14ac:dyDescent="0.2">
      <c r="A470" s="120">
        <v>26</v>
      </c>
      <c r="B470" s="276"/>
      <c r="C470" s="137"/>
      <c r="R470" s="128"/>
      <c r="S470" s="128"/>
      <c r="T470" s="128"/>
    </row>
    <row r="471" spans="1:20" ht="14.1" customHeight="1" x14ac:dyDescent="0.2">
      <c r="A471" s="120">
        <v>27</v>
      </c>
      <c r="B471" s="276"/>
      <c r="C471" s="137"/>
      <c r="E471" s="342"/>
      <c r="G471" s="124"/>
      <c r="H471" s="128"/>
      <c r="I471" s="288"/>
      <c r="J471" s="128"/>
      <c r="K471" s="128"/>
      <c r="L471" s="128"/>
      <c r="M471" s="128"/>
      <c r="N471" s="288"/>
      <c r="O471" s="128"/>
      <c r="Q471" s="128"/>
      <c r="R471" s="128"/>
      <c r="S471" s="128"/>
      <c r="T471" s="128"/>
    </row>
    <row r="472" spans="1:20" ht="14.1" customHeight="1" x14ac:dyDescent="0.2">
      <c r="A472" s="120">
        <v>28</v>
      </c>
      <c r="B472" s="276"/>
      <c r="C472" s="137"/>
      <c r="R472" s="128"/>
      <c r="S472" s="128"/>
      <c r="T472" s="128"/>
    </row>
    <row r="473" spans="1:20" ht="14.1" customHeight="1" x14ac:dyDescent="0.2">
      <c r="A473" s="120">
        <v>29</v>
      </c>
      <c r="B473" s="276"/>
      <c r="C473" s="137"/>
      <c r="F473" s="337"/>
      <c r="H473" s="128"/>
      <c r="I473" s="288"/>
      <c r="J473" s="128"/>
      <c r="K473" s="128"/>
      <c r="L473" s="128"/>
      <c r="M473" s="128"/>
      <c r="N473" s="288"/>
      <c r="O473" s="128"/>
      <c r="Q473" s="351"/>
      <c r="R473" s="128"/>
      <c r="S473" s="128"/>
      <c r="T473" s="128"/>
    </row>
    <row r="474" spans="1:20" ht="14.1" customHeight="1" x14ac:dyDescent="0.2">
      <c r="A474" s="120">
        <v>30</v>
      </c>
      <c r="B474" s="276"/>
      <c r="C474" s="137"/>
      <c r="F474" s="353"/>
      <c r="I474" s="288"/>
      <c r="J474" s="128"/>
      <c r="K474" s="128"/>
      <c r="N474" s="288"/>
      <c r="O474" s="128"/>
      <c r="Q474" s="351"/>
      <c r="R474" s="128"/>
      <c r="S474" s="128"/>
      <c r="T474" s="128"/>
    </row>
    <row r="475" spans="1:20" ht="14.1" customHeight="1" x14ac:dyDescent="0.2">
      <c r="A475" s="120">
        <v>31</v>
      </c>
      <c r="B475" s="276"/>
      <c r="C475" s="137"/>
      <c r="J475" s="128"/>
      <c r="K475" s="128"/>
      <c r="Q475" s="128"/>
      <c r="R475" s="128"/>
      <c r="S475" s="128"/>
      <c r="T475" s="128"/>
    </row>
    <row r="476" spans="1:20" ht="14.1" customHeight="1" x14ac:dyDescent="0.2">
      <c r="A476" s="120">
        <v>32</v>
      </c>
      <c r="B476" s="276"/>
      <c r="C476" s="137"/>
      <c r="F476" s="337"/>
      <c r="I476" s="351"/>
      <c r="J476" s="128"/>
      <c r="K476" s="128"/>
      <c r="N476" s="351"/>
      <c r="O476" s="128"/>
      <c r="Q476" s="351"/>
      <c r="R476" s="128"/>
      <c r="S476" s="128"/>
      <c r="T476" s="128"/>
    </row>
    <row r="477" spans="1:20" ht="14.1" customHeight="1" x14ac:dyDescent="0.2">
      <c r="A477" s="120">
        <v>33</v>
      </c>
      <c r="B477" s="276"/>
      <c r="C477" s="137"/>
      <c r="F477" s="337"/>
      <c r="I477" s="351"/>
      <c r="J477" s="128"/>
      <c r="K477" s="128"/>
      <c r="N477" s="351"/>
      <c r="O477" s="128"/>
      <c r="Q477" s="351"/>
      <c r="R477" s="128"/>
      <c r="S477" s="128"/>
      <c r="T477" s="128"/>
    </row>
    <row r="478" spans="1:20" ht="14.1" customHeight="1" x14ac:dyDescent="0.2">
      <c r="A478" s="120">
        <v>34</v>
      </c>
      <c r="B478" s="276"/>
      <c r="C478" s="137"/>
      <c r="F478" s="337"/>
      <c r="I478" s="351"/>
      <c r="J478" s="128"/>
      <c r="K478" s="128"/>
      <c r="N478" s="351"/>
      <c r="O478" s="128"/>
      <c r="Q478" s="351"/>
      <c r="R478" s="128"/>
      <c r="S478" s="128"/>
      <c r="T478" s="128"/>
    </row>
    <row r="479" spans="1:20" ht="14.1" customHeight="1" x14ac:dyDescent="0.2">
      <c r="A479" s="120">
        <v>35</v>
      </c>
      <c r="B479" s="276"/>
      <c r="C479" s="137"/>
      <c r="F479" s="337"/>
      <c r="I479" s="351"/>
      <c r="J479" s="128"/>
      <c r="K479" s="128"/>
      <c r="N479" s="351"/>
      <c r="O479" s="128"/>
      <c r="Q479" s="351"/>
      <c r="R479" s="128"/>
      <c r="S479" s="128"/>
      <c r="T479" s="128"/>
    </row>
    <row r="480" spans="1:20" ht="14.1" customHeight="1" thickBot="1" x14ac:dyDescent="0.25">
      <c r="A480" s="370">
        <v>36</v>
      </c>
      <c r="B480" s="343"/>
      <c r="C480" s="344"/>
      <c r="D480" s="114"/>
      <c r="E480" s="114"/>
      <c r="F480" s="114"/>
      <c r="G480" s="114"/>
      <c r="H480" s="114"/>
      <c r="I480" s="114"/>
      <c r="J480" s="114"/>
      <c r="K480" s="114"/>
      <c r="L480" s="114"/>
      <c r="M480" s="114"/>
      <c r="N480" s="114"/>
      <c r="O480" s="114"/>
      <c r="P480" s="114"/>
      <c r="Q480" s="114"/>
      <c r="R480" s="346"/>
      <c r="S480" s="346"/>
      <c r="T480" s="347" t="s">
        <v>1500</v>
      </c>
    </row>
    <row r="481" spans="1:20" ht="14.1" customHeight="1" x14ac:dyDescent="0.2">
      <c r="A481" s="113" t="str">
        <f>+$A$49</f>
        <v>Supporting Schedules:  E-7, E-14 Supplement</v>
      </c>
      <c r="R481" s="113" t="s">
        <v>1369</v>
      </c>
    </row>
    <row r="482" spans="1:20" ht="14.1" customHeight="1" thickBot="1" x14ac:dyDescent="0.25">
      <c r="A482" s="114" t="str">
        <f>+$A$2</f>
        <v>SCHEDULE A-3</v>
      </c>
      <c r="B482" s="114"/>
      <c r="C482" s="114"/>
      <c r="D482" s="114"/>
      <c r="E482" s="114"/>
      <c r="F482" s="114"/>
      <c r="G482" s="114"/>
      <c r="H482" s="114"/>
      <c r="I482" s="114" t="str">
        <f>+$I$2</f>
        <v>SUMMARY OF TARIFFS</v>
      </c>
      <c r="J482" s="114"/>
      <c r="K482" s="114"/>
      <c r="L482" s="114"/>
      <c r="M482" s="114"/>
      <c r="N482" s="114"/>
      <c r="O482" s="114"/>
      <c r="P482" s="114"/>
      <c r="Q482" s="114"/>
      <c r="R482" s="114"/>
      <c r="S482" s="114"/>
      <c r="T482" s="263" t="s">
        <v>1501</v>
      </c>
    </row>
    <row r="483" spans="1:20" ht="14.1" customHeight="1" x14ac:dyDescent="0.2">
      <c r="A483" s="113" t="s">
        <v>307</v>
      </c>
      <c r="F483" s="117" t="s">
        <v>1405</v>
      </c>
      <c r="G483" s="113" t="s">
        <v>1406</v>
      </c>
      <c r="L483" s="115"/>
      <c r="M483" s="115"/>
      <c r="O483" s="115"/>
      <c r="P483" s="115"/>
      <c r="Q483" s="115" t="s">
        <v>845</v>
      </c>
      <c r="T483" s="116"/>
    </row>
    <row r="484" spans="1:20" ht="14.1" customHeight="1" x14ac:dyDescent="0.2">
      <c r="G484" s="113" t="s">
        <v>1407</v>
      </c>
      <c r="L484" s="117"/>
      <c r="M484" s="116"/>
      <c r="P484" s="117"/>
      <c r="Q484" s="11" t="s">
        <v>916</v>
      </c>
      <c r="R484" s="10" t="s">
        <v>1512</v>
      </c>
      <c r="T484" s="117"/>
    </row>
    <row r="485" spans="1:20" ht="14.1" customHeight="1" x14ac:dyDescent="0.2">
      <c r="A485" s="113" t="s">
        <v>310</v>
      </c>
      <c r="L485" s="117"/>
      <c r="M485" s="116"/>
      <c r="N485" s="117"/>
      <c r="Q485" s="11"/>
      <c r="R485" s="10"/>
      <c r="T485" s="117"/>
    </row>
    <row r="486" spans="1:20" ht="14.1" customHeight="1" x14ac:dyDescent="0.2">
      <c r="L486" s="117"/>
      <c r="M486" s="116"/>
      <c r="N486" s="117"/>
      <c r="Q486" s="11"/>
      <c r="R486" s="10"/>
      <c r="T486" s="117"/>
    </row>
    <row r="487" spans="1:20" ht="14.1" customHeight="1" thickBot="1" x14ac:dyDescent="0.25">
      <c r="A487" s="114" t="s">
        <v>1521</v>
      </c>
      <c r="B487" s="114"/>
      <c r="C487" s="114"/>
      <c r="D487" s="114"/>
      <c r="E487" s="114"/>
      <c r="F487" s="114"/>
      <c r="G487" s="114"/>
      <c r="H487" s="114"/>
      <c r="I487" s="118"/>
      <c r="J487" s="114"/>
      <c r="K487" s="114"/>
      <c r="L487" s="114"/>
      <c r="M487" s="114"/>
      <c r="N487" s="114"/>
      <c r="O487" s="114"/>
      <c r="P487" s="114"/>
      <c r="Q487" s="114"/>
      <c r="R487" s="114" t="s">
        <v>1519</v>
      </c>
      <c r="S487" s="114"/>
      <c r="T487" s="114"/>
    </row>
    <row r="488" spans="1:20" ht="14.1" customHeight="1" x14ac:dyDescent="0.2">
      <c r="A488" s="113" t="str">
        <f>IF(+A$8="","",A$8)</f>
        <v/>
      </c>
      <c r="B488" s="120" t="str">
        <f t="shared" ref="B488:T488" si="51">IF(+B$8="","",B$8)</f>
        <v/>
      </c>
      <c r="C488" s="120" t="str">
        <f t="shared" si="51"/>
        <v>(1)</v>
      </c>
      <c r="D488" s="120" t="str">
        <f t="shared" si="51"/>
        <v/>
      </c>
      <c r="E488" s="120" t="str">
        <f t="shared" si="51"/>
        <v/>
      </c>
      <c r="F488" s="120" t="str">
        <f t="shared" si="51"/>
        <v>(2)</v>
      </c>
      <c r="G488" s="120" t="str">
        <f t="shared" si="51"/>
        <v/>
      </c>
      <c r="H488" s="120" t="str">
        <f>IF(+H$8="","",H$8)</f>
        <v/>
      </c>
      <c r="I488" s="120" t="str">
        <f>IF(+I$8="","",I$8)</f>
        <v>(3)</v>
      </c>
      <c r="J488" s="120" t="str">
        <f>IF(+J$8="","",J$8)</f>
        <v/>
      </c>
      <c r="K488" s="120"/>
      <c r="L488" s="120" t="str">
        <f t="shared" si="51"/>
        <v>(4)</v>
      </c>
      <c r="M488" s="120" t="str">
        <f t="shared" si="51"/>
        <v/>
      </c>
      <c r="N488" s="120" t="str">
        <f t="shared" si="51"/>
        <v>(5)</v>
      </c>
      <c r="O488" s="120" t="str">
        <f t="shared" si="51"/>
        <v/>
      </c>
      <c r="Q488" s="120" t="str">
        <f>IF(+Q$8="","",Q$8)</f>
        <v>(6)</v>
      </c>
      <c r="R488" s="120" t="str">
        <f t="shared" si="51"/>
        <v/>
      </c>
      <c r="S488" s="120" t="str">
        <f t="shared" si="51"/>
        <v/>
      </c>
      <c r="T488" s="120" t="str">
        <f t="shared" si="51"/>
        <v/>
      </c>
    </row>
    <row r="489" spans="1:20" ht="14.1" customHeight="1" x14ac:dyDescent="0.2">
      <c r="A489" s="113" t="str">
        <f>IF(+A$9="","",A$9)</f>
        <v/>
      </c>
      <c r="B489" s="120" t="str">
        <f t="shared" ref="B489:T489" si="52">IF(+B$9="","",B$9)</f>
        <v/>
      </c>
      <c r="C489" s="120" t="str">
        <f t="shared" si="52"/>
        <v/>
      </c>
      <c r="D489" s="120" t="str">
        <f t="shared" si="52"/>
        <v/>
      </c>
      <c r="E489" s="120" t="str">
        <f t="shared" si="52"/>
        <v/>
      </c>
      <c r="F489" s="120" t="str">
        <f t="shared" si="52"/>
        <v/>
      </c>
      <c r="G489" s="120" t="str">
        <f t="shared" si="52"/>
        <v/>
      </c>
      <c r="H489" s="120" t="str">
        <f>IF(+H$9="","",H$9)</f>
        <v/>
      </c>
      <c r="I489" s="120" t="str">
        <f>IF(+I$9="","",I$9)</f>
        <v/>
      </c>
      <c r="J489" s="120" t="str">
        <f>IF(+J$9="","",J$9)</f>
        <v/>
      </c>
      <c r="K489" s="120"/>
      <c r="L489" s="120" t="str">
        <f t="shared" si="52"/>
        <v/>
      </c>
      <c r="M489" s="120" t="str">
        <f t="shared" si="52"/>
        <v/>
      </c>
      <c r="N489" s="120" t="str">
        <f t="shared" si="52"/>
        <v/>
      </c>
      <c r="O489" s="120" t="str">
        <f t="shared" si="52"/>
        <v/>
      </c>
      <c r="Q489" s="120" t="str">
        <f>IF(+Q$9="","",Q$9)</f>
        <v/>
      </c>
      <c r="R489" s="120" t="str">
        <f t="shared" si="52"/>
        <v/>
      </c>
      <c r="S489" s="120" t="str">
        <f t="shared" si="52"/>
        <v/>
      </c>
      <c r="T489" s="120" t="str">
        <f t="shared" si="52"/>
        <v/>
      </c>
    </row>
    <row r="490" spans="1:20" ht="14.1" customHeight="1" x14ac:dyDescent="0.2">
      <c r="A490" s="113" t="str">
        <f>IF(+A$10="","",A$10)</f>
        <v/>
      </c>
      <c r="B490" s="120" t="str">
        <f t="shared" ref="B490:T490" si="53">IF(+B$10="","",B$10)</f>
        <v/>
      </c>
      <c r="C490" s="120" t="str">
        <f t="shared" si="53"/>
        <v xml:space="preserve">Current </v>
      </c>
      <c r="D490" s="120" t="str">
        <f t="shared" si="53"/>
        <v/>
      </c>
      <c r="E490" s="120" t="str">
        <f t="shared" si="53"/>
        <v/>
      </c>
      <c r="F490" s="120" t="str">
        <f t="shared" si="53"/>
        <v/>
      </c>
      <c r="G490" s="120" t="str">
        <f t="shared" si="53"/>
        <v/>
      </c>
      <c r="H490" s="120" t="str">
        <f>IF(+H$10="","",H$10)</f>
        <v/>
      </c>
      <c r="I490" s="120" t="str">
        <f>IF(+I$10="","",I$10)</f>
        <v/>
      </c>
      <c r="J490" s="120" t="str">
        <f>IF(+J$10="","",J$10)</f>
        <v/>
      </c>
      <c r="K490" s="120"/>
      <c r="L490" s="120" t="str">
        <f t="shared" si="53"/>
        <v>Proposed</v>
      </c>
      <c r="M490" s="120" t="str">
        <f t="shared" si="53"/>
        <v/>
      </c>
      <c r="N490" s="120" t="str">
        <f t="shared" si="53"/>
        <v/>
      </c>
      <c r="O490" s="120" t="str">
        <f t="shared" si="53"/>
        <v/>
      </c>
      <c r="Q490" s="120" t="str">
        <f>IF(+Q$10="","",Q$10)</f>
        <v>Percent</v>
      </c>
      <c r="R490" s="120" t="str">
        <f t="shared" si="53"/>
        <v/>
      </c>
      <c r="S490" s="120" t="str">
        <f t="shared" si="53"/>
        <v/>
      </c>
      <c r="T490" s="120" t="str">
        <f t="shared" si="53"/>
        <v/>
      </c>
    </row>
    <row r="491" spans="1:20" ht="14.1" customHeight="1" x14ac:dyDescent="0.2">
      <c r="A491" s="120" t="str">
        <f>IF(+A$11="","",A$11)</f>
        <v>Line</v>
      </c>
      <c r="B491" s="120" t="str">
        <f t="shared" ref="B491:T491" si="54">IF(+B$11="","",B$11)</f>
        <v/>
      </c>
      <c r="C491" s="120" t="str">
        <f t="shared" si="54"/>
        <v>Rate</v>
      </c>
      <c r="D491" s="120" t="str">
        <f t="shared" si="54"/>
        <v/>
      </c>
      <c r="E491" s="120" t="str">
        <f t="shared" si="54"/>
        <v/>
      </c>
      <c r="F491" s="120" t="str">
        <f t="shared" si="54"/>
        <v/>
      </c>
      <c r="G491" s="120" t="str">
        <f t="shared" si="54"/>
        <v/>
      </c>
      <c r="H491" s="120" t="str">
        <f>IF(+H$11="","",H$11)</f>
        <v/>
      </c>
      <c r="I491" s="120" t="str">
        <f>IF(+I$11="","",I$11)</f>
        <v>Current</v>
      </c>
      <c r="J491" s="120" t="str">
        <f>IF(+J$11="","",J$11)</f>
        <v/>
      </c>
      <c r="K491" s="120"/>
      <c r="L491" s="120" t="str">
        <f t="shared" si="54"/>
        <v>Rate</v>
      </c>
      <c r="M491" s="120" t="str">
        <f t="shared" si="54"/>
        <v/>
      </c>
      <c r="N491" s="120" t="str">
        <f t="shared" si="54"/>
        <v>Proposed</v>
      </c>
      <c r="O491" s="120" t="str">
        <f t="shared" si="54"/>
        <v/>
      </c>
      <c r="Q491" s="120" t="str">
        <f>IF(+Q$11="","",Q$11)</f>
        <v>Increase</v>
      </c>
      <c r="R491" s="120" t="str">
        <f t="shared" si="54"/>
        <v/>
      </c>
      <c r="S491" s="120" t="str">
        <f t="shared" si="54"/>
        <v/>
      </c>
      <c r="T491" s="120" t="str">
        <f t="shared" si="54"/>
        <v/>
      </c>
    </row>
    <row r="492" spans="1:20" ht="14.1" customHeight="1" thickBot="1" x14ac:dyDescent="0.25">
      <c r="A492" s="118" t="str">
        <f>IF(+A$12="","",A$12)</f>
        <v>No.</v>
      </c>
      <c r="B492" s="118" t="str">
        <f t="shared" ref="B492:T492" si="55">IF(+B$12="","",B$12)</f>
        <v/>
      </c>
      <c r="C492" s="118" t="str">
        <f t="shared" si="55"/>
        <v>Schedule</v>
      </c>
      <c r="D492" s="118" t="str">
        <f t="shared" si="55"/>
        <v/>
      </c>
      <c r="E492" s="118"/>
      <c r="F492" s="118" t="str">
        <f t="shared" si="55"/>
        <v>Type of Charge</v>
      </c>
      <c r="G492" s="118"/>
      <c r="H492" s="118" t="str">
        <f>IF(+H$12="","",H$12)</f>
        <v/>
      </c>
      <c r="I492" s="118" t="str">
        <f>IF(+I$12="","",I$12)</f>
        <v>Rate</v>
      </c>
      <c r="J492" s="118" t="str">
        <f>IF(+J$12="","",J$12)</f>
        <v/>
      </c>
      <c r="K492" s="118"/>
      <c r="L492" s="118" t="str">
        <f t="shared" si="55"/>
        <v>Schedule</v>
      </c>
      <c r="M492" s="118" t="str">
        <f t="shared" si="55"/>
        <v/>
      </c>
      <c r="N492" s="118" t="str">
        <f t="shared" si="55"/>
        <v>Rate</v>
      </c>
      <c r="O492" s="118" t="str">
        <f t="shared" si="55"/>
        <v/>
      </c>
      <c r="P492" s="114"/>
      <c r="Q492" s="118" t="str">
        <f>IF(+Q$12="","",Q$12)</f>
        <v>((5)-(3))/(3)</v>
      </c>
      <c r="R492" s="118" t="str">
        <f t="shared" si="55"/>
        <v/>
      </c>
      <c r="S492" s="118" t="str">
        <f t="shared" si="55"/>
        <v/>
      </c>
      <c r="T492" s="118" t="str">
        <f t="shared" si="55"/>
        <v/>
      </c>
    </row>
    <row r="493" spans="1:20" ht="14.1" customHeight="1" x14ac:dyDescent="0.2">
      <c r="A493" s="120">
        <v>1</v>
      </c>
      <c r="B493" s="377" t="s">
        <v>841</v>
      </c>
      <c r="C493" s="377"/>
      <c r="D493" s="377"/>
      <c r="E493" s="377"/>
      <c r="F493" s="377"/>
      <c r="G493" s="124"/>
      <c r="H493" s="137"/>
      <c r="J493" s="137"/>
      <c r="K493" s="137"/>
      <c r="L493" s="305"/>
      <c r="M493" s="137"/>
      <c r="N493" s="137"/>
      <c r="O493" s="137"/>
      <c r="Q493" s="137"/>
      <c r="R493" s="137"/>
      <c r="S493" s="137"/>
      <c r="T493" s="137"/>
    </row>
    <row r="494" spans="1:20" ht="14.1" customHeight="1" x14ac:dyDescent="0.2">
      <c r="A494" s="120">
        <v>2</v>
      </c>
      <c r="B494" s="276"/>
      <c r="G494" s="124"/>
      <c r="H494" s="137"/>
      <c r="I494" s="288"/>
      <c r="J494" s="137"/>
      <c r="K494" s="137"/>
      <c r="L494" s="137"/>
      <c r="M494" s="137"/>
      <c r="N494" s="288"/>
      <c r="O494" s="137"/>
      <c r="Q494" s="127"/>
      <c r="R494" s="137"/>
      <c r="S494" s="137"/>
      <c r="T494" s="137"/>
    </row>
    <row r="495" spans="1:20" ht="14.1" customHeight="1" x14ac:dyDescent="0.2">
      <c r="A495" s="120">
        <v>3</v>
      </c>
      <c r="B495" s="276"/>
      <c r="C495" s="305" t="str">
        <f>C445</f>
        <v>SBLDPR/SBLDTPR</v>
      </c>
      <c r="H495" s="137"/>
      <c r="I495" s="288"/>
      <c r="J495" s="137"/>
      <c r="K495" s="137"/>
      <c r="L495" s="305" t="str">
        <f>C495</f>
        <v>SBLDPR/SBLDTPR</v>
      </c>
      <c r="M495" s="124"/>
      <c r="N495" s="288"/>
      <c r="O495" s="137"/>
      <c r="Q495" s="127"/>
      <c r="R495" s="137"/>
      <c r="S495" s="137"/>
      <c r="T495" s="137"/>
    </row>
    <row r="496" spans="1:20" ht="14.1" customHeight="1" x14ac:dyDescent="0.2">
      <c r="A496" s="120">
        <v>4</v>
      </c>
      <c r="B496" s="276"/>
      <c r="E496" s="323" t="s">
        <v>1502</v>
      </c>
      <c r="G496" s="128"/>
      <c r="H496" s="128"/>
      <c r="R496" s="128"/>
      <c r="S496" s="128"/>
      <c r="T496" s="128"/>
    </row>
    <row r="497" spans="1:20" ht="14.1" customHeight="1" x14ac:dyDescent="0.2">
      <c r="A497" s="120">
        <v>5</v>
      </c>
      <c r="B497" s="276"/>
      <c r="C497" s="124"/>
      <c r="F497" s="113" t="s">
        <v>1503</v>
      </c>
      <c r="I497" s="288">
        <f>'2027 GSLDPR Rate Class E-13c'!J133</f>
        <v>1.080469221</v>
      </c>
      <c r="J497" s="128" t="s">
        <v>1355</v>
      </c>
      <c r="K497" s="128"/>
      <c r="L497" s="128"/>
      <c r="M497" s="128"/>
      <c r="N497" s="288">
        <f>'2027 GSLDPR Rate Class E-13c'!Q133</f>
        <v>1.1238826093584326</v>
      </c>
      <c r="O497" s="128" t="s">
        <v>1355</v>
      </c>
      <c r="Q497" s="125">
        <f>IF(I497=0,0,+(N497-I497)/I497)</f>
        <v>4.0180125000000039E-2</v>
      </c>
      <c r="R497" s="128"/>
      <c r="S497" s="128"/>
      <c r="T497" s="128"/>
    </row>
    <row r="498" spans="1:20" ht="14.1" customHeight="1" x14ac:dyDescent="0.2">
      <c r="A498" s="120">
        <v>6</v>
      </c>
      <c r="B498" s="276"/>
      <c r="C498" s="124"/>
      <c r="F498" s="113" t="s">
        <v>1504</v>
      </c>
      <c r="I498" s="288">
        <f>'2027 GSLDPR Rate Class E-13c'!J134</f>
        <v>1.080469221</v>
      </c>
      <c r="J498" s="128" t="s">
        <v>1355</v>
      </c>
      <c r="N498" s="288">
        <f>'2027 GSLDPR Rate Class E-13c'!Q134</f>
        <v>1.1238826093584326</v>
      </c>
      <c r="O498" s="128" t="s">
        <v>1355</v>
      </c>
      <c r="Q498" s="125">
        <f>IF(I498=0,0,+(N498-I498)/I498)</f>
        <v>4.0180125000000039E-2</v>
      </c>
      <c r="R498" s="128"/>
      <c r="S498" s="128"/>
      <c r="T498" s="128"/>
    </row>
    <row r="499" spans="1:20" ht="14.1" customHeight="1" x14ac:dyDescent="0.2">
      <c r="A499" s="120">
        <v>7</v>
      </c>
      <c r="B499" s="276"/>
      <c r="C499" s="124"/>
      <c r="Q499" s="141"/>
      <c r="R499" s="128"/>
      <c r="S499" s="128"/>
      <c r="T499" s="128"/>
    </row>
    <row r="500" spans="1:20" ht="14.1" customHeight="1" x14ac:dyDescent="0.2">
      <c r="A500" s="120">
        <v>8</v>
      </c>
      <c r="B500" s="276"/>
      <c r="C500" s="124"/>
      <c r="E500" s="113" t="s">
        <v>1477</v>
      </c>
      <c r="I500" s="355">
        <f>'2027 GSLDPR Rate Class E-13c'!J107</f>
        <v>2.1503456065000001E-3</v>
      </c>
      <c r="J500" s="113" t="s">
        <v>1478</v>
      </c>
      <c r="L500" s="128"/>
      <c r="M500" s="128"/>
      <c r="N500" s="355">
        <f>'2027 GSLDPR Rate Class E-13c'!Q107</f>
        <v>2.236746761762371E-3</v>
      </c>
      <c r="O500" s="113" t="s">
        <v>1478</v>
      </c>
      <c r="Q500" s="125">
        <f>IF(I500=0,0,+(N500-I500)/I500)</f>
        <v>4.018012500000006E-2</v>
      </c>
      <c r="R500" s="128"/>
      <c r="S500" s="128"/>
      <c r="T500" s="128"/>
    </row>
    <row r="501" spans="1:20" ht="14.1" customHeight="1" x14ac:dyDescent="0.2">
      <c r="A501" s="120">
        <v>9</v>
      </c>
      <c r="B501" s="276"/>
      <c r="C501" s="124"/>
      <c r="I501" s="313"/>
      <c r="L501" s="128"/>
      <c r="M501" s="128"/>
      <c r="N501" s="313"/>
      <c r="Q501" s="364"/>
      <c r="R501" s="128"/>
      <c r="S501" s="128"/>
      <c r="T501" s="128"/>
    </row>
    <row r="502" spans="1:20" ht="14.1" customHeight="1" x14ac:dyDescent="0.2">
      <c r="A502" s="120">
        <v>10</v>
      </c>
      <c r="B502" s="276"/>
      <c r="C502" s="137"/>
      <c r="E502" s="113" t="s">
        <v>1479</v>
      </c>
      <c r="F502" s="124"/>
      <c r="G502" s="128"/>
      <c r="H502" s="128"/>
      <c r="I502" s="338">
        <f>'2027 GSLDPR Rate Class E-13c'!J128</f>
        <v>-1.0804692210000001E-3</v>
      </c>
      <c r="J502" s="113" t="s">
        <v>1478</v>
      </c>
      <c r="L502" s="128"/>
      <c r="M502" s="128"/>
      <c r="N502" s="338">
        <f>'2027 GSLDPR Rate Class E-13c'!Q128</f>
        <v>-1.1238826093584327E-3</v>
      </c>
      <c r="O502" s="113" t="s">
        <v>1478</v>
      </c>
      <c r="Q502" s="125">
        <f>IF(I502=0,0,+(N502-I502)/I502)</f>
        <v>4.0180124999999983E-2</v>
      </c>
      <c r="R502" s="128"/>
      <c r="S502" s="128"/>
      <c r="T502" s="128"/>
    </row>
    <row r="503" spans="1:20" ht="14.1" customHeight="1" x14ac:dyDescent="0.2">
      <c r="A503" s="120">
        <v>11</v>
      </c>
      <c r="B503" s="276"/>
      <c r="C503" s="137"/>
      <c r="R503" s="128"/>
      <c r="S503" s="128"/>
      <c r="T503" s="128"/>
    </row>
    <row r="504" spans="1:20" ht="14.1" customHeight="1" x14ac:dyDescent="0.2">
      <c r="A504" s="120">
        <v>12</v>
      </c>
      <c r="B504" s="276"/>
      <c r="C504" s="137"/>
      <c r="E504" s="342" t="s">
        <v>811</v>
      </c>
      <c r="H504" s="128"/>
      <c r="I504" s="288"/>
      <c r="J504" s="128"/>
      <c r="K504" s="128"/>
      <c r="L504" s="128"/>
      <c r="M504" s="128"/>
      <c r="N504" s="288"/>
      <c r="O504" s="128"/>
      <c r="Q504" s="128"/>
      <c r="R504" s="128"/>
      <c r="S504" s="128"/>
      <c r="T504" s="128"/>
    </row>
    <row r="505" spans="1:20" ht="14.1" customHeight="1" x14ac:dyDescent="0.2">
      <c r="A505" s="120">
        <v>13</v>
      </c>
      <c r="B505" s="276"/>
      <c r="C505" s="137"/>
      <c r="F505" s="113" t="s">
        <v>1476</v>
      </c>
      <c r="R505" s="128"/>
      <c r="S505" s="128"/>
      <c r="T505" s="128"/>
    </row>
    <row r="506" spans="1:20" ht="14.1" customHeight="1" x14ac:dyDescent="0.2">
      <c r="A506" s="120">
        <v>14</v>
      </c>
      <c r="B506" s="276"/>
      <c r="C506" s="137"/>
      <c r="F506" s="337" t="s">
        <v>745</v>
      </c>
      <c r="G506" s="137"/>
      <c r="H506" s="128"/>
      <c r="I506" s="356">
        <f>+'2027 GSLDPR Rate Class E-13c'!J139*100</f>
        <v>-1</v>
      </c>
      <c r="J506" s="128" t="s">
        <v>1450</v>
      </c>
      <c r="K506" s="128"/>
      <c r="L506" s="128"/>
      <c r="M506" s="128"/>
      <c r="N506" s="356">
        <f>+'2027 GSLDPR Rate Class E-13c'!Q139*100</f>
        <v>-1</v>
      </c>
      <c r="O506" s="128" t="s">
        <v>1450</v>
      </c>
      <c r="Q506" s="125">
        <f>IF(I506=0,0,+(N506-I506)/I506)</f>
        <v>0</v>
      </c>
      <c r="R506" s="128"/>
      <c r="S506" s="128"/>
      <c r="T506" s="128"/>
    </row>
    <row r="507" spans="1:20" ht="14.1" customHeight="1" x14ac:dyDescent="0.2">
      <c r="A507" s="120">
        <v>16</v>
      </c>
      <c r="B507" s="276"/>
      <c r="C507" s="137"/>
      <c r="F507" s="353" t="s">
        <v>1436</v>
      </c>
      <c r="I507" s="356">
        <f>+'2027 GSLDPR Rate Class E-13c'!J140*100</f>
        <v>-1</v>
      </c>
      <c r="J507" s="128" t="s">
        <v>1450</v>
      </c>
      <c r="K507" s="128"/>
      <c r="N507" s="356">
        <f>+'2027 GSLDPR Rate Class E-13c'!Q140*100</f>
        <v>-1</v>
      </c>
      <c r="O507" s="128" t="s">
        <v>1450</v>
      </c>
      <c r="Q507" s="125">
        <f>IF(I507=0,0,+(N507-I507)/I507)</f>
        <v>0</v>
      </c>
      <c r="R507" s="128"/>
      <c r="S507" s="128"/>
      <c r="T507" s="128"/>
    </row>
    <row r="508" spans="1:20" ht="14.1" customHeight="1" x14ac:dyDescent="0.2">
      <c r="A508" s="120">
        <v>18</v>
      </c>
      <c r="B508" s="276"/>
      <c r="C508" s="137"/>
      <c r="I508" s="356"/>
      <c r="J508" s="128"/>
      <c r="K508" s="128"/>
      <c r="N508" s="356"/>
      <c r="O508" s="128"/>
      <c r="Q508" s="367"/>
      <c r="R508" s="128"/>
      <c r="S508" s="128"/>
      <c r="T508" s="128"/>
    </row>
    <row r="509" spans="1:20" ht="14.1" customHeight="1" x14ac:dyDescent="0.2">
      <c r="A509" s="120">
        <v>19</v>
      </c>
      <c r="B509" s="276"/>
      <c r="C509" s="137"/>
      <c r="F509" s="337"/>
      <c r="I509" s="356"/>
      <c r="J509" s="128"/>
      <c r="K509" s="128"/>
      <c r="N509" s="356"/>
      <c r="O509" s="128"/>
      <c r="Q509" s="351"/>
      <c r="R509" s="128"/>
      <c r="S509" s="128"/>
      <c r="T509" s="128"/>
    </row>
    <row r="510" spans="1:20" ht="14.1" customHeight="1" x14ac:dyDescent="0.2">
      <c r="A510" s="120">
        <v>20</v>
      </c>
      <c r="B510" s="276"/>
      <c r="C510" s="137"/>
      <c r="F510" s="337"/>
      <c r="I510" s="356"/>
      <c r="J510" s="128"/>
      <c r="K510" s="128"/>
      <c r="N510" s="356"/>
      <c r="O510" s="128"/>
      <c r="Q510" s="127"/>
      <c r="R510" s="128"/>
      <c r="S510" s="128"/>
      <c r="T510" s="128"/>
    </row>
    <row r="511" spans="1:20" ht="14.1" customHeight="1" x14ac:dyDescent="0.2">
      <c r="A511" s="120">
        <v>21</v>
      </c>
      <c r="B511" s="276"/>
      <c r="C511" s="137"/>
      <c r="R511" s="128"/>
      <c r="S511" s="128"/>
      <c r="T511" s="128"/>
    </row>
    <row r="512" spans="1:20" ht="14.1" customHeight="1" x14ac:dyDescent="0.2">
      <c r="A512" s="120">
        <v>22</v>
      </c>
      <c r="B512" s="276"/>
      <c r="C512" s="137"/>
      <c r="R512" s="128"/>
      <c r="S512" s="128"/>
      <c r="T512" s="128"/>
    </row>
    <row r="513" spans="1:20" ht="14.1" customHeight="1" x14ac:dyDescent="0.2">
      <c r="A513" s="120">
        <v>23</v>
      </c>
      <c r="B513" s="276"/>
      <c r="C513" s="137"/>
      <c r="R513" s="128"/>
      <c r="S513" s="128"/>
      <c r="T513" s="128"/>
    </row>
    <row r="514" spans="1:20" ht="14.1" customHeight="1" x14ac:dyDescent="0.2">
      <c r="A514" s="120">
        <v>24</v>
      </c>
      <c r="B514" s="276"/>
      <c r="C514" s="137"/>
      <c r="G514" s="137"/>
      <c r="H514" s="128"/>
      <c r="I514" s="339"/>
      <c r="J514" s="128"/>
      <c r="K514" s="128"/>
      <c r="L514" s="128"/>
      <c r="M514" s="128"/>
      <c r="N514" s="339"/>
      <c r="O514" s="128"/>
      <c r="Q514" s="128"/>
      <c r="R514" s="128"/>
      <c r="S514" s="128"/>
      <c r="T514" s="128"/>
    </row>
    <row r="515" spans="1:20" ht="14.1" customHeight="1" x14ac:dyDescent="0.2">
      <c r="A515" s="120">
        <v>25</v>
      </c>
      <c r="B515" s="276"/>
      <c r="C515" s="137"/>
      <c r="R515" s="128"/>
      <c r="S515" s="128"/>
      <c r="T515" s="128"/>
    </row>
    <row r="516" spans="1:20" ht="14.1" customHeight="1" x14ac:dyDescent="0.2">
      <c r="A516" s="120">
        <v>26</v>
      </c>
      <c r="B516" s="276"/>
      <c r="C516" s="137"/>
      <c r="R516" s="128"/>
      <c r="S516" s="128"/>
      <c r="T516" s="128"/>
    </row>
    <row r="517" spans="1:20" ht="14.1" customHeight="1" x14ac:dyDescent="0.2">
      <c r="A517" s="120">
        <v>27</v>
      </c>
      <c r="B517" s="276"/>
      <c r="C517" s="137"/>
      <c r="R517" s="128"/>
      <c r="S517" s="128"/>
      <c r="T517" s="128"/>
    </row>
    <row r="518" spans="1:20" ht="14.1" customHeight="1" x14ac:dyDescent="0.2">
      <c r="A518" s="120">
        <v>28</v>
      </c>
      <c r="B518" s="276"/>
      <c r="C518" s="137"/>
      <c r="R518" s="128"/>
      <c r="S518" s="128"/>
      <c r="T518" s="128"/>
    </row>
    <row r="519" spans="1:20" ht="14.1" customHeight="1" x14ac:dyDescent="0.2">
      <c r="A519" s="120">
        <v>29</v>
      </c>
      <c r="B519" s="276"/>
      <c r="C519" s="137"/>
      <c r="R519" s="128"/>
      <c r="S519" s="128"/>
      <c r="T519" s="128"/>
    </row>
    <row r="520" spans="1:20" ht="14.1" customHeight="1" x14ac:dyDescent="0.2">
      <c r="A520" s="120">
        <v>30</v>
      </c>
      <c r="B520" s="276"/>
      <c r="C520" s="137"/>
      <c r="R520" s="128"/>
      <c r="S520" s="128"/>
      <c r="T520" s="128"/>
    </row>
    <row r="521" spans="1:20" ht="14.1" customHeight="1" x14ac:dyDescent="0.2">
      <c r="A521" s="120">
        <v>31</v>
      </c>
      <c r="B521" s="276"/>
      <c r="C521" s="137"/>
      <c r="R521" s="128"/>
      <c r="S521" s="128"/>
      <c r="T521" s="128"/>
    </row>
    <row r="522" spans="1:20" ht="14.1" customHeight="1" x14ac:dyDescent="0.2">
      <c r="A522" s="120">
        <v>32</v>
      </c>
      <c r="B522" s="276"/>
      <c r="C522" s="137"/>
      <c r="R522" s="128"/>
      <c r="S522" s="128"/>
      <c r="T522" s="128"/>
    </row>
    <row r="523" spans="1:20" ht="14.1" customHeight="1" x14ac:dyDescent="0.2">
      <c r="A523" s="120">
        <v>33</v>
      </c>
      <c r="B523" s="276"/>
      <c r="C523" s="137"/>
      <c r="R523" s="128"/>
      <c r="S523" s="128"/>
      <c r="T523" s="128"/>
    </row>
    <row r="524" spans="1:20" ht="14.1" customHeight="1" x14ac:dyDescent="0.2">
      <c r="A524" s="120">
        <v>34</v>
      </c>
      <c r="B524" s="276"/>
      <c r="C524" s="137"/>
      <c r="Q524" s="128"/>
      <c r="R524" s="128"/>
      <c r="S524" s="128"/>
      <c r="T524" s="128"/>
    </row>
    <row r="525" spans="1:20" ht="14.1" customHeight="1" x14ac:dyDescent="0.2">
      <c r="A525" s="120">
        <v>35</v>
      </c>
      <c r="B525" s="276"/>
      <c r="C525" s="137"/>
      <c r="R525" s="128"/>
      <c r="S525" s="128"/>
      <c r="T525" s="128"/>
    </row>
    <row r="526" spans="1:20" ht="14.1" customHeight="1" thickBot="1" x14ac:dyDescent="0.25">
      <c r="A526" s="118">
        <v>36</v>
      </c>
      <c r="B526" s="343"/>
      <c r="C526" s="344"/>
      <c r="D526" s="114"/>
      <c r="E526" s="114"/>
      <c r="F526" s="114"/>
      <c r="G526" s="114"/>
      <c r="H526" s="114"/>
      <c r="I526" s="114"/>
      <c r="J526" s="114"/>
      <c r="K526" s="114"/>
      <c r="L526" s="114"/>
      <c r="M526" s="114"/>
      <c r="N526" s="114"/>
      <c r="O526" s="114"/>
      <c r="P526" s="114"/>
      <c r="Q526" s="114"/>
      <c r="R526" s="346"/>
      <c r="S526" s="346"/>
      <c r="T526" s="346"/>
    </row>
    <row r="527" spans="1:20" ht="14.1" customHeight="1" x14ac:dyDescent="0.2">
      <c r="A527" s="113" t="str">
        <f>+$A$49</f>
        <v>Supporting Schedules:  E-7, E-14 Supplement</v>
      </c>
      <c r="R527" s="113" t="s">
        <v>1369</v>
      </c>
    </row>
    <row r="528" spans="1:20" ht="14.1" customHeight="1" thickBot="1" x14ac:dyDescent="0.25">
      <c r="A528" s="114" t="str">
        <f>+$A$2</f>
        <v>SCHEDULE A-3</v>
      </c>
      <c r="B528" s="114"/>
      <c r="C528" s="114"/>
      <c r="D528" s="114"/>
      <c r="E528" s="114"/>
      <c r="F528" s="114"/>
      <c r="G528" s="114"/>
      <c r="H528" s="114"/>
      <c r="I528" s="114" t="str">
        <f>+$I$2</f>
        <v>SUMMARY OF TARIFFS</v>
      </c>
      <c r="J528" s="114"/>
      <c r="K528" s="114"/>
      <c r="L528" s="114"/>
      <c r="M528" s="114"/>
      <c r="N528" s="114"/>
      <c r="O528" s="114"/>
      <c r="P528" s="114"/>
      <c r="Q528" s="114"/>
      <c r="R528" s="114"/>
      <c r="S528" s="114"/>
      <c r="T528" s="263" t="s">
        <v>1505</v>
      </c>
    </row>
    <row r="529" spans="1:20" ht="14.1" customHeight="1" x14ac:dyDescent="0.2">
      <c r="A529" s="113" t="s">
        <v>307</v>
      </c>
      <c r="F529" s="117" t="s">
        <v>1405</v>
      </c>
      <c r="G529" s="113" t="s">
        <v>1406</v>
      </c>
      <c r="L529" s="115"/>
      <c r="M529" s="115"/>
      <c r="O529" s="115"/>
      <c r="P529" s="115"/>
      <c r="Q529" s="115" t="s">
        <v>845</v>
      </c>
      <c r="T529" s="116"/>
    </row>
    <row r="530" spans="1:20" ht="14.1" customHeight="1" x14ac:dyDescent="0.2">
      <c r="G530" s="113" t="s">
        <v>1407</v>
      </c>
      <c r="L530" s="117"/>
      <c r="M530" s="116"/>
      <c r="P530" s="117"/>
      <c r="Q530" s="11" t="s">
        <v>916</v>
      </c>
      <c r="R530" s="10" t="s">
        <v>1512</v>
      </c>
      <c r="T530" s="117"/>
    </row>
    <row r="531" spans="1:20" ht="14.1" customHeight="1" x14ac:dyDescent="0.2">
      <c r="A531" s="113" t="s">
        <v>310</v>
      </c>
      <c r="L531" s="117"/>
      <c r="M531" s="116"/>
      <c r="N531" s="117"/>
      <c r="Q531" s="11"/>
      <c r="R531" s="10"/>
      <c r="T531" s="117"/>
    </row>
    <row r="532" spans="1:20" ht="14.1" customHeight="1" x14ac:dyDescent="0.2">
      <c r="L532" s="117"/>
      <c r="M532" s="116"/>
      <c r="N532" s="117"/>
      <c r="Q532" s="11"/>
      <c r="R532" s="10"/>
      <c r="T532" s="117"/>
    </row>
    <row r="533" spans="1:20" ht="14.1" customHeight="1" thickBot="1" x14ac:dyDescent="0.25">
      <c r="A533" s="114" t="s">
        <v>1520</v>
      </c>
      <c r="B533" s="114"/>
      <c r="C533" s="114"/>
      <c r="D533" s="114"/>
      <c r="E533" s="114"/>
      <c r="F533" s="114"/>
      <c r="G533" s="114"/>
      <c r="H533" s="114"/>
      <c r="I533" s="118"/>
      <c r="J533" s="114"/>
      <c r="K533" s="114"/>
      <c r="L533" s="114"/>
      <c r="M533" s="114"/>
      <c r="N533" s="114"/>
      <c r="O533" s="114"/>
      <c r="P533" s="114"/>
      <c r="Q533" s="114"/>
      <c r="R533" s="114" t="s">
        <v>1519</v>
      </c>
      <c r="S533" s="114"/>
      <c r="T533" s="114"/>
    </row>
    <row r="534" spans="1:20" ht="14.1" customHeight="1" x14ac:dyDescent="0.2">
      <c r="A534" s="113" t="str">
        <f>IF(+A$8="","",A$8)</f>
        <v/>
      </c>
      <c r="B534" s="120" t="str">
        <f t="shared" ref="B534:T534" si="56">IF(+B$8="","",B$8)</f>
        <v/>
      </c>
      <c r="C534" s="120" t="str">
        <f t="shared" si="56"/>
        <v>(1)</v>
      </c>
      <c r="D534" s="120" t="str">
        <f t="shared" si="56"/>
        <v/>
      </c>
      <c r="E534" s="120" t="str">
        <f t="shared" si="56"/>
        <v/>
      </c>
      <c r="F534" s="120" t="str">
        <f t="shared" si="56"/>
        <v>(2)</v>
      </c>
      <c r="G534" s="120" t="str">
        <f t="shared" si="56"/>
        <v/>
      </c>
      <c r="H534" s="120" t="str">
        <f>IF(+H$8="","",H$8)</f>
        <v/>
      </c>
      <c r="I534" s="120" t="str">
        <f>IF(+I$8="","",I$8)</f>
        <v>(3)</v>
      </c>
      <c r="J534" s="120" t="str">
        <f>IF(+J$8="","",J$8)</f>
        <v/>
      </c>
      <c r="K534" s="120"/>
      <c r="L534" s="120" t="str">
        <f t="shared" si="56"/>
        <v>(4)</v>
      </c>
      <c r="M534" s="120" t="str">
        <f t="shared" si="56"/>
        <v/>
      </c>
      <c r="N534" s="120" t="str">
        <f t="shared" si="56"/>
        <v>(5)</v>
      </c>
      <c r="O534" s="120" t="str">
        <f t="shared" si="56"/>
        <v/>
      </c>
      <c r="Q534" s="120" t="str">
        <f>IF(+Q$8="","",Q$8)</f>
        <v>(6)</v>
      </c>
      <c r="R534" s="120" t="str">
        <f t="shared" si="56"/>
        <v/>
      </c>
      <c r="S534" s="120" t="str">
        <f t="shared" si="56"/>
        <v/>
      </c>
      <c r="T534" s="120" t="str">
        <f t="shared" si="56"/>
        <v/>
      </c>
    </row>
    <row r="535" spans="1:20" ht="14.1" customHeight="1" x14ac:dyDescent="0.2">
      <c r="A535" s="113" t="str">
        <f>IF(+A$9="","",A$9)</f>
        <v/>
      </c>
      <c r="B535" s="120" t="str">
        <f t="shared" ref="B535:T535" si="57">IF(+B$9="","",B$9)</f>
        <v/>
      </c>
      <c r="C535" s="120" t="str">
        <f t="shared" si="57"/>
        <v/>
      </c>
      <c r="D535" s="120" t="str">
        <f t="shared" si="57"/>
        <v/>
      </c>
      <c r="E535" s="120" t="str">
        <f t="shared" si="57"/>
        <v/>
      </c>
      <c r="F535" s="120" t="str">
        <f t="shared" si="57"/>
        <v/>
      </c>
      <c r="G535" s="120" t="str">
        <f t="shared" si="57"/>
        <v/>
      </c>
      <c r="H535" s="120" t="str">
        <f>IF(+H$9="","",H$9)</f>
        <v/>
      </c>
      <c r="I535" s="120" t="str">
        <f>IF(+I$9="","",I$9)</f>
        <v/>
      </c>
      <c r="J535" s="120" t="str">
        <f>IF(+J$9="","",J$9)</f>
        <v/>
      </c>
      <c r="K535" s="120"/>
      <c r="L535" s="120" t="str">
        <f t="shared" si="57"/>
        <v/>
      </c>
      <c r="M535" s="120" t="str">
        <f t="shared" si="57"/>
        <v/>
      </c>
      <c r="N535" s="120" t="str">
        <f t="shared" si="57"/>
        <v/>
      </c>
      <c r="O535" s="120" t="str">
        <f t="shared" si="57"/>
        <v/>
      </c>
      <c r="Q535" s="120" t="str">
        <f>IF(+Q$9="","",Q$9)</f>
        <v/>
      </c>
      <c r="R535" s="120" t="str">
        <f t="shared" si="57"/>
        <v/>
      </c>
      <c r="S535" s="120" t="str">
        <f t="shared" si="57"/>
        <v/>
      </c>
      <c r="T535" s="120" t="str">
        <f t="shared" si="57"/>
        <v/>
      </c>
    </row>
    <row r="536" spans="1:20" ht="14.1" customHeight="1" x14ac:dyDescent="0.2">
      <c r="A536" s="113" t="str">
        <f>IF(+A$10="","",A$10)</f>
        <v/>
      </c>
      <c r="B536" s="120" t="str">
        <f t="shared" ref="B536:T536" si="58">IF(+B$10="","",B$10)</f>
        <v/>
      </c>
      <c r="C536" s="120" t="str">
        <f t="shared" si="58"/>
        <v xml:space="preserve">Current </v>
      </c>
      <c r="D536" s="120" t="str">
        <f t="shared" si="58"/>
        <v/>
      </c>
      <c r="E536" s="120" t="str">
        <f t="shared" si="58"/>
        <v/>
      </c>
      <c r="F536" s="120" t="str">
        <f t="shared" si="58"/>
        <v/>
      </c>
      <c r="G536" s="120" t="str">
        <f t="shared" si="58"/>
        <v/>
      </c>
      <c r="H536" s="120" t="str">
        <f>IF(+H$10="","",H$10)</f>
        <v/>
      </c>
      <c r="I536" s="120" t="str">
        <f>IF(+I$10="","",I$10)</f>
        <v/>
      </c>
      <c r="J536" s="120" t="str">
        <f>IF(+J$10="","",J$10)</f>
        <v/>
      </c>
      <c r="K536" s="120"/>
      <c r="L536" s="120" t="str">
        <f t="shared" si="58"/>
        <v>Proposed</v>
      </c>
      <c r="M536" s="120" t="str">
        <f t="shared" si="58"/>
        <v/>
      </c>
      <c r="N536" s="120" t="str">
        <f t="shared" si="58"/>
        <v/>
      </c>
      <c r="O536" s="120" t="str">
        <f t="shared" si="58"/>
        <v/>
      </c>
      <c r="Q536" s="120" t="str">
        <f>IF(+Q$10="","",Q$10)</f>
        <v>Percent</v>
      </c>
      <c r="R536" s="120" t="str">
        <f t="shared" si="58"/>
        <v/>
      </c>
      <c r="S536" s="120" t="str">
        <f t="shared" si="58"/>
        <v/>
      </c>
      <c r="T536" s="120" t="str">
        <f t="shared" si="58"/>
        <v/>
      </c>
    </row>
    <row r="537" spans="1:20" ht="14.1" customHeight="1" x14ac:dyDescent="0.2">
      <c r="A537" s="120" t="str">
        <f>IF(+A$11="","",A$11)</f>
        <v>Line</v>
      </c>
      <c r="B537" s="120" t="str">
        <f t="shared" ref="B537:T537" si="59">IF(+B$11="","",B$11)</f>
        <v/>
      </c>
      <c r="C537" s="120" t="str">
        <f t="shared" si="59"/>
        <v>Rate</v>
      </c>
      <c r="D537" s="120" t="str">
        <f t="shared" si="59"/>
        <v/>
      </c>
      <c r="E537" s="120" t="str">
        <f t="shared" si="59"/>
        <v/>
      </c>
      <c r="F537" s="120" t="str">
        <f t="shared" si="59"/>
        <v/>
      </c>
      <c r="G537" s="120" t="str">
        <f t="shared" si="59"/>
        <v/>
      </c>
      <c r="H537" s="120" t="str">
        <f>IF(+H$11="","",H$11)</f>
        <v/>
      </c>
      <c r="I537" s="120" t="str">
        <f>IF(+I$11="","",I$11)</f>
        <v>Current</v>
      </c>
      <c r="J537" s="120" t="str">
        <f>IF(+J$11="","",J$11)</f>
        <v/>
      </c>
      <c r="K537" s="120"/>
      <c r="L537" s="120" t="str">
        <f t="shared" si="59"/>
        <v>Rate</v>
      </c>
      <c r="M537" s="120" t="str">
        <f t="shared" si="59"/>
        <v/>
      </c>
      <c r="N537" s="120" t="str">
        <f t="shared" si="59"/>
        <v>Proposed</v>
      </c>
      <c r="O537" s="120" t="str">
        <f t="shared" si="59"/>
        <v/>
      </c>
      <c r="Q537" s="120" t="str">
        <f>IF(+Q$11="","",Q$11)</f>
        <v>Increase</v>
      </c>
      <c r="R537" s="120" t="str">
        <f t="shared" si="59"/>
        <v/>
      </c>
      <c r="S537" s="120" t="str">
        <f t="shared" si="59"/>
        <v/>
      </c>
      <c r="T537" s="120" t="str">
        <f t="shared" si="59"/>
        <v/>
      </c>
    </row>
    <row r="538" spans="1:20" ht="14.1" customHeight="1" thickBot="1" x14ac:dyDescent="0.25">
      <c r="A538" s="118" t="str">
        <f>IF(+A$12="","",A$12)</f>
        <v>No.</v>
      </c>
      <c r="B538" s="118" t="str">
        <f t="shared" ref="B538:T538" si="60">IF(+B$12="","",B$12)</f>
        <v/>
      </c>
      <c r="C538" s="118" t="str">
        <f t="shared" si="60"/>
        <v>Schedule</v>
      </c>
      <c r="D538" s="118" t="str">
        <f t="shared" si="60"/>
        <v/>
      </c>
      <c r="E538" s="118"/>
      <c r="F538" s="118" t="str">
        <f t="shared" si="60"/>
        <v>Type of Charge</v>
      </c>
      <c r="G538" s="118"/>
      <c r="H538" s="118" t="str">
        <f>IF(+H$12="","",H$12)</f>
        <v/>
      </c>
      <c r="I538" s="118" t="str">
        <f>IF(+I$12="","",I$12)</f>
        <v>Rate</v>
      </c>
      <c r="J538" s="118" t="str">
        <f>IF(+J$12="","",J$12)</f>
        <v/>
      </c>
      <c r="K538" s="118"/>
      <c r="L538" s="118" t="str">
        <f t="shared" si="60"/>
        <v>Schedule</v>
      </c>
      <c r="M538" s="118" t="str">
        <f t="shared" si="60"/>
        <v/>
      </c>
      <c r="N538" s="118" t="str">
        <f t="shared" si="60"/>
        <v>Rate</v>
      </c>
      <c r="O538" s="118" t="str">
        <f t="shared" si="60"/>
        <v/>
      </c>
      <c r="P538" s="114"/>
      <c r="Q538" s="118" t="str">
        <f>IF(+Q$12="","",Q$12)</f>
        <v>((5)-(3))/(3)</v>
      </c>
      <c r="R538" s="118" t="str">
        <f t="shared" si="60"/>
        <v/>
      </c>
      <c r="S538" s="118" t="str">
        <f t="shared" si="60"/>
        <v/>
      </c>
      <c r="T538" s="118" t="str">
        <f t="shared" si="60"/>
        <v/>
      </c>
    </row>
    <row r="539" spans="1:20" ht="14.1" customHeight="1" x14ac:dyDescent="0.2">
      <c r="A539" s="120">
        <v>1</v>
      </c>
      <c r="B539" s="340"/>
      <c r="C539" s="305" t="s">
        <v>767</v>
      </c>
      <c r="D539" s="137"/>
      <c r="G539" s="124"/>
      <c r="H539" s="137"/>
      <c r="J539" s="137"/>
      <c r="K539" s="137"/>
      <c r="L539" s="305" t="s">
        <v>767</v>
      </c>
      <c r="M539" s="137"/>
      <c r="N539" s="137"/>
      <c r="O539" s="137"/>
      <c r="Q539" s="137"/>
      <c r="R539" s="137"/>
      <c r="S539" s="137"/>
      <c r="T539" s="137"/>
    </row>
    <row r="540" spans="1:20" ht="14.1" customHeight="1" x14ac:dyDescent="0.2">
      <c r="A540" s="120">
        <v>2</v>
      </c>
      <c r="B540" s="340"/>
      <c r="C540" s="305"/>
      <c r="D540" s="137"/>
      <c r="E540" s="330" t="s">
        <v>326</v>
      </c>
      <c r="G540" s="124"/>
      <c r="H540" s="137"/>
      <c r="J540" s="137"/>
      <c r="K540" s="137"/>
      <c r="L540" s="305"/>
      <c r="M540" s="137"/>
      <c r="N540" s="137"/>
      <c r="O540" s="137"/>
      <c r="Q540" s="137"/>
      <c r="R540" s="137"/>
      <c r="S540" s="137"/>
      <c r="T540" s="137"/>
    </row>
    <row r="541" spans="1:20" ht="14.1" customHeight="1" x14ac:dyDescent="0.2">
      <c r="A541" s="120">
        <v>3</v>
      </c>
      <c r="B541" s="276"/>
      <c r="F541" s="147" t="s">
        <v>327</v>
      </c>
      <c r="H541" s="137"/>
      <c r="I541" s="288">
        <f>'2027 GSLDSU Rate Class E-13c'!J73</f>
        <v>136.05437718013363</v>
      </c>
      <c r="J541" s="137" t="s">
        <v>1414</v>
      </c>
      <c r="K541" s="137"/>
      <c r="L541" s="137"/>
      <c r="M541" s="124"/>
      <c r="N541" s="288">
        <f>'2027 GSLDSU Rate Class E-13c'!Q73</f>
        <v>141.52105974230042</v>
      </c>
      <c r="O541" s="137" t="s">
        <v>1414</v>
      </c>
      <c r="Q541" s="125">
        <f>IF(I541=0,0,+(N541-I541)/I541)</f>
        <v>4.0180129999999946E-2</v>
      </c>
      <c r="R541" s="137"/>
      <c r="S541" s="137"/>
      <c r="T541" s="137"/>
    </row>
    <row r="542" spans="1:20" ht="14.1" customHeight="1" x14ac:dyDescent="0.2">
      <c r="A542" s="120">
        <v>4</v>
      </c>
      <c r="B542" s="276"/>
      <c r="C542" s="124"/>
      <c r="F542" s="113" t="s">
        <v>1495</v>
      </c>
      <c r="I542" s="288">
        <f>'2027 GSLDSU Rate Class E-13c'!J74</f>
        <v>136.05437718013363</v>
      </c>
      <c r="J542" s="137" t="s">
        <v>1414</v>
      </c>
      <c r="K542" s="137"/>
      <c r="N542" s="288">
        <f>'2027 GSLDSU Rate Class E-13c'!Q74</f>
        <v>141.52105974230042</v>
      </c>
      <c r="O542" s="137" t="s">
        <v>1414</v>
      </c>
      <c r="Q542" s="125">
        <f>IF(I542=0,0,+(N542-I542)/I542)</f>
        <v>4.0180129999999946E-2</v>
      </c>
      <c r="R542" s="128"/>
      <c r="S542" s="128"/>
      <c r="T542" s="128"/>
    </row>
    <row r="543" spans="1:20" ht="14.1" customHeight="1" x14ac:dyDescent="0.2">
      <c r="A543" s="120">
        <v>5</v>
      </c>
      <c r="B543" s="276"/>
      <c r="C543" s="124"/>
      <c r="Q543" s="141"/>
      <c r="R543" s="128"/>
      <c r="S543" s="128"/>
      <c r="T543" s="128"/>
    </row>
    <row r="544" spans="1:20" ht="14.1" customHeight="1" x14ac:dyDescent="0.2">
      <c r="A544" s="120">
        <v>6</v>
      </c>
      <c r="B544" s="276"/>
      <c r="C544" s="124"/>
      <c r="E544" s="116" t="s">
        <v>1452</v>
      </c>
      <c r="G544" s="137"/>
      <c r="H544" s="128"/>
      <c r="I544" s="288"/>
      <c r="J544" s="128"/>
      <c r="K544" s="128"/>
      <c r="L544" s="128"/>
      <c r="M544" s="122"/>
      <c r="N544" s="288"/>
      <c r="O544" s="128"/>
      <c r="Q544" s="364"/>
      <c r="R544" s="128"/>
      <c r="S544" s="128"/>
      <c r="T544" s="128"/>
    </row>
    <row r="545" spans="1:20" ht="14.1" customHeight="1" x14ac:dyDescent="0.2">
      <c r="A545" s="120">
        <v>7</v>
      </c>
      <c r="B545" s="276"/>
      <c r="C545" s="124"/>
      <c r="F545" s="147" t="s">
        <v>327</v>
      </c>
      <c r="G545" s="137"/>
      <c r="H545" s="128"/>
      <c r="I545" s="351">
        <f>'2027 GSLDSU Rate Class E-13c'!J92</f>
        <v>13.528692539970505</v>
      </c>
      <c r="J545" s="128" t="s">
        <v>1355</v>
      </c>
      <c r="K545" s="128"/>
      <c r="L545" s="128"/>
      <c r="M545" s="122"/>
      <c r="N545" s="351">
        <f>'2027 GSLDSU Rate Class E-13c'!Q92</f>
        <v>14.072277164956549</v>
      </c>
      <c r="O545" s="128" t="s">
        <v>1355</v>
      </c>
      <c r="Q545" s="125">
        <f>IF(I545=0,0,+(N545-I545)/I545)</f>
        <v>4.0180129999999946E-2</v>
      </c>
      <c r="R545" s="128"/>
      <c r="S545" s="128"/>
      <c r="T545" s="128"/>
    </row>
    <row r="546" spans="1:20" ht="14.1" customHeight="1" x14ac:dyDescent="0.2">
      <c r="A546" s="120">
        <v>8</v>
      </c>
      <c r="B546" s="276"/>
      <c r="C546" s="124"/>
      <c r="F546" s="113" t="s">
        <v>1496</v>
      </c>
      <c r="I546" s="351">
        <f>'2027 GSLDSU Rate Class E-13c'!J93</f>
        <v>1.6433626520945765</v>
      </c>
      <c r="J546" s="128" t="s">
        <v>1355</v>
      </c>
      <c r="K546" s="128"/>
      <c r="N546" s="351">
        <f>'2027 GSLDSU Rate Class E-13c'!Q93</f>
        <v>1.7093931770928814</v>
      </c>
      <c r="O546" s="128" t="s">
        <v>1355</v>
      </c>
      <c r="Q546" s="125">
        <f>IF(I546=0,0,+(N546-I546)/I546)</f>
        <v>4.0180130000000001E-2</v>
      </c>
      <c r="R546" s="128"/>
      <c r="S546" s="128"/>
      <c r="T546" s="128"/>
    </row>
    <row r="547" spans="1:20" ht="14.1" customHeight="1" x14ac:dyDescent="0.2">
      <c r="A547" s="120">
        <v>9</v>
      </c>
      <c r="B547" s="276"/>
      <c r="C547" s="137"/>
      <c r="F547" s="113" t="s">
        <v>1497</v>
      </c>
      <c r="I547" s="351">
        <f>'2027 GSLDSU Rate Class E-13c'!J94</f>
        <v>11.885329887875928</v>
      </c>
      <c r="J547" s="128" t="s">
        <v>1355</v>
      </c>
      <c r="K547" s="128"/>
      <c r="N547" s="351">
        <f>'2027 GSLDSU Rate Class E-13c'!Q94</f>
        <v>12.362883987863668</v>
      </c>
      <c r="O547" s="128" t="s">
        <v>1355</v>
      </c>
      <c r="Q547" s="125">
        <f>IF(I547=0,0,+(N547-I547)/I547)</f>
        <v>4.0180130000000008E-2</v>
      </c>
      <c r="R547" s="128"/>
      <c r="S547" s="128"/>
      <c r="T547" s="128"/>
    </row>
    <row r="548" spans="1:20" ht="14.1" customHeight="1" x14ac:dyDescent="0.2">
      <c r="A548" s="120">
        <v>10</v>
      </c>
      <c r="B548" s="276"/>
      <c r="C548" s="137"/>
      <c r="I548" s="359"/>
      <c r="J548" s="128"/>
      <c r="K548" s="128"/>
      <c r="N548" s="359"/>
      <c r="O548" s="128"/>
      <c r="Q548" s="125"/>
      <c r="R548" s="128"/>
      <c r="S548" s="128"/>
      <c r="T548" s="128"/>
    </row>
    <row r="549" spans="1:20" ht="14.1" customHeight="1" x14ac:dyDescent="0.2">
      <c r="A549" s="120">
        <v>11</v>
      </c>
      <c r="B549" s="276"/>
      <c r="C549" s="137"/>
      <c r="E549" s="342" t="s">
        <v>1456</v>
      </c>
      <c r="Q549" s="141"/>
      <c r="R549" s="128"/>
      <c r="S549" s="128"/>
      <c r="T549" s="128"/>
    </row>
    <row r="550" spans="1:20" ht="14.1" customHeight="1" x14ac:dyDescent="0.2">
      <c r="A550" s="120">
        <v>12</v>
      </c>
      <c r="B550" s="276"/>
      <c r="C550" s="137"/>
      <c r="F550" s="147" t="s">
        <v>327</v>
      </c>
      <c r="I550" s="355">
        <f>'2027 GSLDSU Rate Class E-13c'!J78</f>
        <v>1.2314277017726343E-2</v>
      </c>
      <c r="J550" s="334" t="s">
        <v>1418</v>
      </c>
      <c r="K550" s="128"/>
      <c r="N550" s="355">
        <f>'2027 GSLDSU Rate Class E-13c'!Q78</f>
        <v>1.2809066269154601E-2</v>
      </c>
      <c r="O550" s="334" t="s">
        <v>1418</v>
      </c>
      <c r="Q550" s="125">
        <f>IF(I550=0,0,+(N550-I550)/I550)</f>
        <v>4.018013000000005E-2</v>
      </c>
      <c r="R550" s="128"/>
      <c r="S550" s="128"/>
      <c r="T550" s="128"/>
    </row>
    <row r="551" spans="1:20" ht="14.1" customHeight="1" x14ac:dyDescent="0.2">
      <c r="A551" s="120">
        <v>13</v>
      </c>
      <c r="B551" s="276"/>
      <c r="C551" s="137"/>
      <c r="F551" s="113" t="s">
        <v>1439</v>
      </c>
      <c r="I551" s="355">
        <f>'2027 GSLDSU Rate Class E-13c'!J79</f>
        <v>2.216783838464725E-2</v>
      </c>
      <c r="J551" s="334" t="s">
        <v>1418</v>
      </c>
      <c r="K551" s="128"/>
      <c r="N551" s="355">
        <f>'2027 GSLDSU Rate Class E-13c'!Q79</f>
        <v>2.3058545012761368E-2</v>
      </c>
      <c r="O551" s="334" t="s">
        <v>1418</v>
      </c>
      <c r="Q551" s="125">
        <f>IF(I551=0,0,+(N551-I551)/I551)</f>
        <v>4.0180130000000057E-2</v>
      </c>
      <c r="R551" s="128"/>
      <c r="S551" s="128"/>
      <c r="T551" s="128"/>
    </row>
    <row r="552" spans="1:20" ht="14.1" customHeight="1" x14ac:dyDescent="0.2">
      <c r="A552" s="120">
        <v>14</v>
      </c>
      <c r="B552" s="276"/>
      <c r="C552" s="137"/>
      <c r="F552" s="113" t="s">
        <v>1440</v>
      </c>
      <c r="I552" s="355">
        <f>'2027 GSLDSU Rate Class E-13c'!J80</f>
        <v>1.0812318894059951E-2</v>
      </c>
      <c r="J552" s="334" t="s">
        <v>1418</v>
      </c>
      <c r="K552" s="128"/>
      <c r="N552" s="355">
        <f>'2027 GSLDSU Rate Class E-13c'!Q80</f>
        <v>1.1246759272824735E-2</v>
      </c>
      <c r="O552" s="334" t="s">
        <v>1418</v>
      </c>
      <c r="Q552" s="125">
        <f>+(N552-I552)/I552</f>
        <v>4.018012999999996E-2</v>
      </c>
      <c r="R552" s="128"/>
      <c r="S552" s="128"/>
      <c r="T552" s="128"/>
    </row>
    <row r="553" spans="1:20" ht="14.1" customHeight="1" x14ac:dyDescent="0.2">
      <c r="A553" s="120">
        <v>15</v>
      </c>
      <c r="B553" s="276"/>
      <c r="C553" s="137"/>
      <c r="F553" s="113" t="s">
        <v>1441</v>
      </c>
      <c r="I553" s="355">
        <f>'2027 GSLDSU Rate Class E-13c'!J81</f>
        <v>7.5920969489680296E-3</v>
      </c>
      <c r="J553" s="334" t="s">
        <v>1418</v>
      </c>
      <c r="N553" s="355">
        <f>'2027 GSLDSU Rate Class E-13c'!Q81</f>
        <v>7.897148391350169E-3</v>
      </c>
      <c r="O553" s="334" t="s">
        <v>1418</v>
      </c>
      <c r="Q553" s="125">
        <f>+(N553-I553)/I553</f>
        <v>4.0180130000000078E-2</v>
      </c>
      <c r="R553" s="128"/>
      <c r="S553" s="128"/>
      <c r="T553" s="128"/>
    </row>
    <row r="554" spans="1:20" ht="14.1" customHeight="1" x14ac:dyDescent="0.2">
      <c r="A554" s="120">
        <v>16</v>
      </c>
      <c r="B554" s="276"/>
      <c r="C554" s="137"/>
      <c r="Q554" s="141"/>
      <c r="R554" s="128"/>
      <c r="S554" s="128"/>
      <c r="T554" s="128"/>
    </row>
    <row r="555" spans="1:20" ht="14.1" customHeight="1" x14ac:dyDescent="0.2">
      <c r="A555" s="120">
        <v>17</v>
      </c>
      <c r="B555" s="276"/>
      <c r="C555" s="137"/>
      <c r="E555" s="116" t="s">
        <v>1498</v>
      </c>
      <c r="G555" s="137"/>
      <c r="H555" s="128"/>
      <c r="I555" s="288"/>
      <c r="J555" s="128"/>
      <c r="K555" s="128"/>
      <c r="L555" s="128"/>
      <c r="M555" s="128"/>
      <c r="N555" s="288"/>
      <c r="O555" s="128"/>
      <c r="Q555" s="364"/>
      <c r="R555" s="128"/>
      <c r="S555" s="128"/>
      <c r="T555" s="128"/>
    </row>
    <row r="556" spans="1:20" ht="14.1" customHeight="1" x14ac:dyDescent="0.2">
      <c r="A556" s="120">
        <v>18</v>
      </c>
      <c r="B556" s="276"/>
      <c r="C556" s="137"/>
      <c r="F556" s="113" t="s">
        <v>1462</v>
      </c>
      <c r="G556" s="137"/>
      <c r="H556" s="128"/>
      <c r="I556" s="351">
        <f>'2027 GSLDSU Rate Class E-13c'!J98</f>
        <v>1.3777686881196956</v>
      </c>
      <c r="J556" s="128" t="s">
        <v>1355</v>
      </c>
      <c r="K556" s="128"/>
      <c r="L556" s="128"/>
      <c r="M556" s="128"/>
      <c r="N556" s="351">
        <f>'2027 GSLDSU Rate Class E-13c'!Q98</f>
        <v>1.4331276131182744</v>
      </c>
      <c r="O556" s="128" t="s">
        <v>1355</v>
      </c>
      <c r="Q556" s="125">
        <f>IF(I556=0,0,+(N556-I556)/I556)</f>
        <v>4.0180130000000029E-2</v>
      </c>
      <c r="R556" s="128"/>
      <c r="S556" s="128"/>
      <c r="T556" s="128"/>
    </row>
    <row r="557" spans="1:20" ht="14.1" customHeight="1" x14ac:dyDescent="0.2">
      <c r="A557" s="120">
        <v>19</v>
      </c>
      <c r="B557" s="276"/>
      <c r="C557" s="137"/>
      <c r="F557" s="113" t="s">
        <v>1463</v>
      </c>
      <c r="L557" s="128"/>
      <c r="M557" s="128"/>
      <c r="Q557" s="364"/>
      <c r="R557" s="128"/>
      <c r="S557" s="128"/>
      <c r="T557" s="128"/>
    </row>
    <row r="558" spans="1:20" ht="14.1" customHeight="1" x14ac:dyDescent="0.2">
      <c r="A558" s="120">
        <v>20</v>
      </c>
      <c r="B558" s="276"/>
      <c r="C558" s="137"/>
      <c r="F558" s="113" t="s">
        <v>1464</v>
      </c>
      <c r="I558" s="351">
        <f>'2027 GSLDSU Rate Class E-13c'!J99</f>
        <v>1.6267630293461466</v>
      </c>
      <c r="J558" s="113" t="s">
        <v>1465</v>
      </c>
      <c r="L558" s="128"/>
      <c r="M558" s="128"/>
      <c r="N558" s="351">
        <f>'2027 GSLDSU Rate Class E-13c'!Q99</f>
        <v>1.6921265793444686</v>
      </c>
      <c r="O558" s="113" t="s">
        <v>1465</v>
      </c>
      <c r="Q558" s="125">
        <f>IF(I558=0,0,+(N558-I558)/I558)</f>
        <v>4.0180130000000043E-2</v>
      </c>
      <c r="R558" s="128"/>
      <c r="S558" s="128"/>
      <c r="T558" s="128"/>
    </row>
    <row r="559" spans="1:20" ht="14.1" customHeight="1" x14ac:dyDescent="0.2">
      <c r="A559" s="120">
        <v>21</v>
      </c>
      <c r="B559" s="276"/>
      <c r="C559" s="137"/>
      <c r="F559" s="113" t="s">
        <v>1466</v>
      </c>
      <c r="I559" s="351">
        <f>'2027 GSLDSU Rate Class E-13c'!J100</f>
        <v>0.64738528718877264</v>
      </c>
      <c r="J559" s="113" t="s">
        <v>1467</v>
      </c>
      <c r="L559" s="128"/>
      <c r="M559" s="128"/>
      <c r="N559" s="351">
        <f>'2027 GSLDSU Rate Class E-13c'!Q100</f>
        <v>0.67339731218810484</v>
      </c>
      <c r="O559" s="113" t="s">
        <v>1467</v>
      </c>
      <c r="Q559" s="125">
        <f>IF(I559=0,0,+(N559-I559)/I559)</f>
        <v>4.018012999999996E-2</v>
      </c>
      <c r="R559" s="128"/>
      <c r="S559" s="128"/>
      <c r="T559" s="128"/>
    </row>
    <row r="560" spans="1:20" ht="14.1" customHeight="1" x14ac:dyDescent="0.2">
      <c r="A560" s="120">
        <v>22</v>
      </c>
      <c r="B560" s="276"/>
      <c r="C560" s="137"/>
      <c r="G560" s="124"/>
      <c r="H560" s="128"/>
      <c r="I560" s="321"/>
      <c r="J560" s="128"/>
      <c r="K560" s="128"/>
      <c r="L560" s="128"/>
      <c r="M560" s="128"/>
      <c r="N560" s="321"/>
      <c r="O560" s="128"/>
      <c r="Q560" s="125"/>
      <c r="R560" s="128"/>
      <c r="S560" s="128"/>
      <c r="T560" s="128"/>
    </row>
    <row r="561" spans="1:20" ht="14.1" customHeight="1" x14ac:dyDescent="0.2">
      <c r="A561" s="120">
        <v>23</v>
      </c>
      <c r="B561" s="276"/>
      <c r="C561" s="137"/>
      <c r="E561" s="342" t="s">
        <v>1468</v>
      </c>
      <c r="G561" s="124"/>
      <c r="H561" s="128"/>
      <c r="J561" s="128"/>
      <c r="K561" s="128"/>
      <c r="L561" s="128"/>
      <c r="M561" s="128"/>
      <c r="O561" s="128"/>
      <c r="Q561" s="364"/>
      <c r="R561" s="128"/>
      <c r="S561" s="128"/>
      <c r="T561" s="128"/>
    </row>
    <row r="562" spans="1:20" ht="14.1" customHeight="1" x14ac:dyDescent="0.2">
      <c r="A562" s="120">
        <v>24</v>
      </c>
      <c r="B562" s="276"/>
      <c r="C562" s="137"/>
      <c r="F562" s="113" t="s">
        <v>1506</v>
      </c>
      <c r="I562" s="338">
        <f>'2027 GSLDSU Rate Class E-13c'!J85</f>
        <v>9.1688404901750439E-3</v>
      </c>
      <c r="J562" s="334" t="s">
        <v>1418</v>
      </c>
      <c r="K562" s="128"/>
      <c r="L562" s="128"/>
      <c r="M562" s="128"/>
      <c r="N562" s="338">
        <f>'2027 GSLDSU Rate Class E-13c'!Q85</f>
        <v>9.5372456930195408E-3</v>
      </c>
      <c r="O562" s="334" t="s">
        <v>1418</v>
      </c>
      <c r="Q562" s="125">
        <f>IF(I562=0,0,+(N562-I562)/I562)</f>
        <v>4.0180129999999988E-2</v>
      </c>
      <c r="R562" s="128"/>
      <c r="S562" s="128"/>
      <c r="T562" s="128"/>
    </row>
    <row r="563" spans="1:20" ht="14.1" customHeight="1" x14ac:dyDescent="0.2">
      <c r="A563" s="120">
        <v>25</v>
      </c>
      <c r="B563" s="276"/>
      <c r="C563" s="137"/>
      <c r="Q563" s="141"/>
      <c r="R563" s="128"/>
      <c r="S563" s="128"/>
      <c r="T563" s="128"/>
    </row>
    <row r="564" spans="1:20" ht="14.1" customHeight="1" x14ac:dyDescent="0.2">
      <c r="A564" s="120">
        <v>26</v>
      </c>
      <c r="B564" s="276"/>
      <c r="C564" s="137"/>
      <c r="E564" s="323" t="s">
        <v>1502</v>
      </c>
      <c r="G564" s="128"/>
      <c r="H564" s="128"/>
      <c r="Q564" s="141"/>
      <c r="R564" s="128"/>
      <c r="S564" s="128"/>
      <c r="T564" s="128"/>
    </row>
    <row r="565" spans="1:20" ht="14.1" customHeight="1" x14ac:dyDescent="0.2">
      <c r="A565" s="120">
        <v>27</v>
      </c>
      <c r="B565" s="276"/>
      <c r="C565" s="137"/>
      <c r="F565" s="113" t="s">
        <v>1503</v>
      </c>
      <c r="I565" s="288">
        <f>'2027 GSLDSU Rate Class E-13c'!J133</f>
        <v>1.0804692052611049</v>
      </c>
      <c r="J565" s="128" t="s">
        <v>1355</v>
      </c>
      <c r="K565" s="128"/>
      <c r="L565" s="128"/>
      <c r="M565" s="128"/>
      <c r="N565" s="288">
        <f>'2027 GSLDSU Rate Class E-13c'!Q133</f>
        <v>1.1238825983894927</v>
      </c>
      <c r="O565" s="128" t="s">
        <v>1355</v>
      </c>
      <c r="Q565" s="125">
        <f>IF(I565=0,0,+(N565-I565)/I565)</f>
        <v>4.0180129999999897E-2</v>
      </c>
      <c r="R565" s="128"/>
      <c r="S565" s="128"/>
      <c r="T565" s="128"/>
    </row>
    <row r="566" spans="1:20" ht="14.1" customHeight="1" x14ac:dyDescent="0.2">
      <c r="A566" s="120">
        <v>28</v>
      </c>
      <c r="B566" s="276"/>
      <c r="C566" s="137"/>
      <c r="F566" s="113" t="s">
        <v>1504</v>
      </c>
      <c r="I566" s="288">
        <f>'2027 GSLDSU Rate Class E-13c'!J134</f>
        <v>1.0804692052611049</v>
      </c>
      <c r="J566" s="128" t="s">
        <v>1355</v>
      </c>
      <c r="N566" s="288">
        <f>'2027 GSLDSU Rate Class E-13c'!Q134</f>
        <v>1.1238825983894927</v>
      </c>
      <c r="O566" s="128" t="s">
        <v>1355</v>
      </c>
      <c r="Q566" s="125">
        <f>IF(I566=0,0,+(N566-I566)/I566)</f>
        <v>4.0180129999999897E-2</v>
      </c>
      <c r="R566" s="128"/>
      <c r="S566" s="128"/>
      <c r="T566" s="128"/>
    </row>
    <row r="567" spans="1:20" ht="14.1" customHeight="1" x14ac:dyDescent="0.2">
      <c r="A567" s="120">
        <v>29</v>
      </c>
      <c r="B567" s="276"/>
      <c r="C567" s="137"/>
      <c r="Q567" s="141"/>
      <c r="R567" s="128"/>
      <c r="S567" s="128"/>
      <c r="T567" s="128"/>
    </row>
    <row r="568" spans="1:20" ht="14.1" customHeight="1" x14ac:dyDescent="0.2">
      <c r="A568" s="120">
        <v>30</v>
      </c>
      <c r="B568" s="276"/>
      <c r="C568" s="137"/>
      <c r="E568" s="113" t="s">
        <v>1477</v>
      </c>
      <c r="I568" s="338">
        <f>'2027 GSLDSU Rate Class E-13c'!J41</f>
        <v>2.1503455751765129E-3</v>
      </c>
      <c r="J568" s="113" t="s">
        <v>1478</v>
      </c>
      <c r="L568" s="128"/>
      <c r="M568" s="128"/>
      <c r="N568" s="338">
        <f>'2027 GSLDSU Rate Class E-13c'!Q41</f>
        <v>2.2367467399320301E-3</v>
      </c>
      <c r="O568" s="113" t="s">
        <v>1478</v>
      </c>
      <c r="Q568" s="125">
        <f>IF(I568=0,0,+(N568-I568)/I568)</f>
        <v>4.0180130000000078E-2</v>
      </c>
      <c r="R568" s="128"/>
      <c r="S568" s="128"/>
      <c r="T568" s="128"/>
    </row>
    <row r="569" spans="1:20" ht="14.1" customHeight="1" x14ac:dyDescent="0.2">
      <c r="A569" s="120">
        <v>31</v>
      </c>
      <c r="B569" s="276"/>
      <c r="C569" s="137"/>
      <c r="I569" s="313"/>
      <c r="L569" s="128"/>
      <c r="M569" s="128"/>
      <c r="N569" s="313"/>
      <c r="Q569" s="364"/>
      <c r="R569" s="128"/>
      <c r="S569" s="128"/>
      <c r="T569" s="128"/>
    </row>
    <row r="570" spans="1:20" ht="14.1" customHeight="1" x14ac:dyDescent="0.2">
      <c r="A570" s="120">
        <v>32</v>
      </c>
      <c r="B570" s="276"/>
      <c r="C570" s="137"/>
      <c r="E570" s="113" t="s">
        <v>1479</v>
      </c>
      <c r="F570" s="124"/>
      <c r="G570" s="128"/>
      <c r="H570" s="128"/>
      <c r="I570" s="338">
        <f>'2027 GSLDSU Rate Class E-13c'!J45</f>
        <v>-1.0804692052611049E-3</v>
      </c>
      <c r="J570" s="113" t="s">
        <v>1478</v>
      </c>
      <c r="L570" s="128"/>
      <c r="M570" s="128"/>
      <c r="N570" s="338">
        <f>'2027 GSLDSU Rate Class E-13c'!Q45</f>
        <v>-1.1238825983894928E-3</v>
      </c>
      <c r="O570" s="113" t="s">
        <v>1478</v>
      </c>
      <c r="Q570" s="125">
        <f>IF(I570=0,0,+(N570-I570)/I570)</f>
        <v>4.0180129999999994E-2</v>
      </c>
      <c r="R570" s="128"/>
      <c r="S570" s="128"/>
      <c r="T570" s="128"/>
    </row>
    <row r="571" spans="1:20" ht="14.1" customHeight="1" x14ac:dyDescent="0.2">
      <c r="A571" s="120">
        <v>33</v>
      </c>
      <c r="B571" s="276"/>
      <c r="C571" s="137"/>
      <c r="F571" s="337"/>
      <c r="G571" s="128"/>
      <c r="H571" s="128"/>
      <c r="I571" s="351"/>
      <c r="J571" s="128"/>
      <c r="K571" s="128"/>
      <c r="L571" s="128"/>
      <c r="M571" s="128"/>
      <c r="N571" s="351"/>
      <c r="O571" s="128"/>
      <c r="Q571" s="127"/>
      <c r="R571" s="128"/>
      <c r="S571" s="128"/>
      <c r="T571" s="128"/>
    </row>
    <row r="572" spans="1:20" ht="14.1" customHeight="1" x14ac:dyDescent="0.2">
      <c r="A572" s="120">
        <v>34</v>
      </c>
      <c r="B572" s="276"/>
      <c r="C572" s="137"/>
      <c r="F572" s="337"/>
      <c r="G572" s="128"/>
      <c r="H572" s="128"/>
      <c r="I572" s="351"/>
      <c r="J572" s="128"/>
      <c r="K572" s="128"/>
      <c r="L572" s="128"/>
      <c r="M572" s="128"/>
      <c r="N572" s="351"/>
      <c r="O572" s="128"/>
      <c r="Q572" s="127"/>
      <c r="R572" s="128"/>
      <c r="S572" s="128"/>
      <c r="T572" s="128"/>
    </row>
    <row r="573" spans="1:20" ht="14.1" customHeight="1" x14ac:dyDescent="0.2">
      <c r="A573" s="120">
        <v>35</v>
      </c>
      <c r="B573" s="276"/>
      <c r="C573" s="137"/>
      <c r="F573" s="337"/>
      <c r="G573" s="128"/>
      <c r="H573" s="128"/>
      <c r="I573" s="351"/>
      <c r="J573" s="128"/>
      <c r="K573" s="128"/>
      <c r="L573" s="128"/>
      <c r="M573" s="128"/>
      <c r="N573" s="351"/>
      <c r="O573" s="128"/>
      <c r="Q573" s="127"/>
      <c r="R573" s="128"/>
      <c r="S573" s="128"/>
      <c r="T573" s="128"/>
    </row>
    <row r="574" spans="1:20" ht="14.1" customHeight="1" thickBot="1" x14ac:dyDescent="0.25">
      <c r="A574" s="370">
        <v>36</v>
      </c>
      <c r="B574" s="343"/>
      <c r="C574" s="344"/>
      <c r="D574" s="114"/>
      <c r="E574" s="114"/>
      <c r="F574" s="114"/>
      <c r="G574" s="114"/>
      <c r="H574" s="114"/>
      <c r="I574" s="114"/>
      <c r="J574" s="114"/>
      <c r="K574" s="114"/>
      <c r="L574" s="114"/>
      <c r="M574" s="114"/>
      <c r="N574" s="114"/>
      <c r="O574" s="114"/>
      <c r="P574" s="114"/>
      <c r="Q574" s="114"/>
      <c r="R574" s="346"/>
      <c r="S574" s="346"/>
      <c r="T574" s="347"/>
    </row>
    <row r="575" spans="1:20" ht="14.1" customHeight="1" x14ac:dyDescent="0.2">
      <c r="A575" s="113" t="str">
        <f>+$A$49</f>
        <v>Supporting Schedules:  E-7, E-14 Supplement</v>
      </c>
      <c r="R575" s="113" t="s">
        <v>1369</v>
      </c>
    </row>
    <row r="576" spans="1:20" ht="14.1" customHeight="1" thickBot="1" x14ac:dyDescent="0.25">
      <c r="A576" s="114" t="str">
        <f>+$A$2</f>
        <v>SCHEDULE A-3</v>
      </c>
      <c r="B576" s="114"/>
      <c r="C576" s="114"/>
      <c r="D576" s="114"/>
      <c r="E576" s="114"/>
      <c r="F576" s="114"/>
      <c r="G576" s="114"/>
      <c r="H576" s="114"/>
      <c r="I576" s="114" t="str">
        <f>+$I$2</f>
        <v>SUMMARY OF TARIFFS</v>
      </c>
      <c r="J576" s="114"/>
      <c r="K576" s="114"/>
      <c r="L576" s="114"/>
      <c r="M576" s="114"/>
      <c r="N576" s="114"/>
      <c r="O576" s="114"/>
      <c r="P576" s="114"/>
      <c r="Q576" s="114"/>
      <c r="R576" s="114"/>
      <c r="S576" s="114"/>
      <c r="T576" s="263" t="s">
        <v>1507</v>
      </c>
    </row>
    <row r="577" spans="1:20" ht="14.1" customHeight="1" x14ac:dyDescent="0.2">
      <c r="A577" s="113" t="s">
        <v>307</v>
      </c>
      <c r="F577" s="117" t="s">
        <v>1405</v>
      </c>
      <c r="G577" s="113" t="s">
        <v>1406</v>
      </c>
      <c r="L577" s="115"/>
      <c r="M577" s="115"/>
      <c r="O577" s="115"/>
      <c r="P577" s="115"/>
      <c r="Q577" s="115" t="s">
        <v>845</v>
      </c>
      <c r="T577" s="116"/>
    </row>
    <row r="578" spans="1:20" ht="14.1" customHeight="1" x14ac:dyDescent="0.2">
      <c r="G578" s="113" t="s">
        <v>1407</v>
      </c>
      <c r="L578" s="117"/>
      <c r="M578" s="116"/>
      <c r="P578" s="117"/>
      <c r="Q578" s="11" t="s">
        <v>916</v>
      </c>
      <c r="R578" s="10" t="s">
        <v>1512</v>
      </c>
      <c r="T578" s="117"/>
    </row>
    <row r="579" spans="1:20" ht="14.1" customHeight="1" x14ac:dyDescent="0.2">
      <c r="A579" s="113" t="s">
        <v>310</v>
      </c>
      <c r="L579" s="117"/>
      <c r="M579" s="116"/>
      <c r="N579" s="117"/>
      <c r="Q579" s="11"/>
      <c r="R579" s="10"/>
      <c r="T579" s="117"/>
    </row>
    <row r="580" spans="1:20" ht="14.1" customHeight="1" x14ac:dyDescent="0.2">
      <c r="L580" s="117"/>
      <c r="M580" s="116"/>
      <c r="N580" s="117"/>
      <c r="Q580" s="11"/>
      <c r="R580" s="10"/>
      <c r="T580" s="117"/>
    </row>
    <row r="581" spans="1:20" ht="14.1" customHeight="1" thickBot="1" x14ac:dyDescent="0.25">
      <c r="A581" s="114" t="s">
        <v>1521</v>
      </c>
      <c r="B581" s="114"/>
      <c r="C581" s="114"/>
      <c r="D581" s="114"/>
      <c r="E581" s="114"/>
      <c r="F581" s="114"/>
      <c r="G581" s="114"/>
      <c r="H581" s="114"/>
      <c r="I581" s="118"/>
      <c r="J581" s="114"/>
      <c r="K581" s="114"/>
      <c r="L581" s="114"/>
      <c r="M581" s="114"/>
      <c r="N581" s="114"/>
      <c r="O581" s="114"/>
      <c r="P581" s="114"/>
      <c r="Q581" s="114"/>
      <c r="R581" s="114" t="s">
        <v>1519</v>
      </c>
      <c r="S581" s="114"/>
      <c r="T581" s="114"/>
    </row>
    <row r="582" spans="1:20" ht="14.1" customHeight="1" x14ac:dyDescent="0.2">
      <c r="A582" s="113" t="str">
        <f>IF(+A$8="","",A$8)</f>
        <v/>
      </c>
      <c r="B582" s="120" t="str">
        <f t="shared" ref="B582:T582" si="61">IF(+B$8="","",B$8)</f>
        <v/>
      </c>
      <c r="C582" s="120" t="str">
        <f t="shared" si="61"/>
        <v>(1)</v>
      </c>
      <c r="D582" s="120" t="str">
        <f t="shared" si="61"/>
        <v/>
      </c>
      <c r="E582" s="120" t="str">
        <f t="shared" si="61"/>
        <v/>
      </c>
      <c r="F582" s="120" t="str">
        <f t="shared" si="61"/>
        <v>(2)</v>
      </c>
      <c r="G582" s="120" t="str">
        <f t="shared" si="61"/>
        <v/>
      </c>
      <c r="H582" s="120" t="str">
        <f>IF(+H$8="","",H$8)</f>
        <v/>
      </c>
      <c r="I582" s="120" t="str">
        <f>IF(+I$8="","",I$8)</f>
        <v>(3)</v>
      </c>
      <c r="J582" s="120" t="str">
        <f>IF(+J$8="","",J$8)</f>
        <v/>
      </c>
      <c r="K582" s="120"/>
      <c r="L582" s="120" t="str">
        <f t="shared" si="61"/>
        <v>(4)</v>
      </c>
      <c r="M582" s="120" t="str">
        <f t="shared" si="61"/>
        <v/>
      </c>
      <c r="N582" s="120" t="str">
        <f t="shared" si="61"/>
        <v>(5)</v>
      </c>
      <c r="O582" s="120" t="str">
        <f t="shared" si="61"/>
        <v/>
      </c>
      <c r="Q582" s="120" t="str">
        <f>IF(+Q$8="","",Q$8)</f>
        <v>(6)</v>
      </c>
      <c r="R582" s="120" t="str">
        <f t="shared" si="61"/>
        <v/>
      </c>
      <c r="S582" s="120" t="str">
        <f t="shared" si="61"/>
        <v/>
      </c>
      <c r="T582" s="120" t="str">
        <f t="shared" si="61"/>
        <v/>
      </c>
    </row>
    <row r="583" spans="1:20" ht="14.1" customHeight="1" x14ac:dyDescent="0.2">
      <c r="A583" s="113" t="str">
        <f>IF(+A$9="","",A$9)</f>
        <v/>
      </c>
      <c r="B583" s="120" t="str">
        <f t="shared" ref="B583:T583" si="62">IF(+B$9="","",B$9)</f>
        <v/>
      </c>
      <c r="C583" s="120" t="str">
        <f t="shared" si="62"/>
        <v/>
      </c>
      <c r="D583" s="120" t="str">
        <f t="shared" si="62"/>
        <v/>
      </c>
      <c r="E583" s="120" t="str">
        <f t="shared" si="62"/>
        <v/>
      </c>
      <c r="F583" s="120" t="str">
        <f t="shared" si="62"/>
        <v/>
      </c>
      <c r="G583" s="120" t="str">
        <f t="shared" si="62"/>
        <v/>
      </c>
      <c r="H583" s="120" t="str">
        <f>IF(+H$9="","",H$9)</f>
        <v/>
      </c>
      <c r="I583" s="120" t="str">
        <f>IF(+I$9="","",I$9)</f>
        <v/>
      </c>
      <c r="J583" s="120" t="str">
        <f>IF(+J$9="","",J$9)</f>
        <v/>
      </c>
      <c r="K583" s="120"/>
      <c r="L583" s="120" t="str">
        <f t="shared" si="62"/>
        <v/>
      </c>
      <c r="M583" s="120" t="str">
        <f t="shared" si="62"/>
        <v/>
      </c>
      <c r="N583" s="120" t="str">
        <f t="shared" si="62"/>
        <v/>
      </c>
      <c r="O583" s="120" t="str">
        <f t="shared" si="62"/>
        <v/>
      </c>
      <c r="Q583" s="120" t="str">
        <f>IF(+Q$9="","",Q$9)</f>
        <v/>
      </c>
      <c r="R583" s="120" t="str">
        <f t="shared" si="62"/>
        <v/>
      </c>
      <c r="S583" s="120" t="str">
        <f t="shared" si="62"/>
        <v/>
      </c>
      <c r="T583" s="120" t="str">
        <f t="shared" si="62"/>
        <v/>
      </c>
    </row>
    <row r="584" spans="1:20" ht="14.1" customHeight="1" x14ac:dyDescent="0.2">
      <c r="A584" s="113" t="str">
        <f>IF(+A$10="","",A$10)</f>
        <v/>
      </c>
      <c r="B584" s="120" t="str">
        <f t="shared" ref="B584:T584" si="63">IF(+B$10="","",B$10)</f>
        <v/>
      </c>
      <c r="C584" s="120" t="str">
        <f t="shared" si="63"/>
        <v xml:space="preserve">Current </v>
      </c>
      <c r="D584" s="120" t="str">
        <f t="shared" si="63"/>
        <v/>
      </c>
      <c r="E584" s="120" t="str">
        <f t="shared" si="63"/>
        <v/>
      </c>
      <c r="F584" s="120" t="str">
        <f t="shared" si="63"/>
        <v/>
      </c>
      <c r="G584" s="120" t="str">
        <f t="shared" si="63"/>
        <v/>
      </c>
      <c r="H584" s="120" t="str">
        <f>IF(+H$10="","",H$10)</f>
        <v/>
      </c>
      <c r="I584" s="120" t="str">
        <f>IF(+I$10="","",I$10)</f>
        <v/>
      </c>
      <c r="J584" s="120" t="str">
        <f>IF(+J$10="","",J$10)</f>
        <v/>
      </c>
      <c r="K584" s="120"/>
      <c r="L584" s="120" t="str">
        <f t="shared" si="63"/>
        <v>Proposed</v>
      </c>
      <c r="M584" s="120" t="str">
        <f t="shared" si="63"/>
        <v/>
      </c>
      <c r="N584" s="120" t="str">
        <f t="shared" si="63"/>
        <v/>
      </c>
      <c r="O584" s="120" t="str">
        <f t="shared" si="63"/>
        <v/>
      </c>
      <c r="Q584" s="120" t="str">
        <f>IF(+Q$10="","",Q$10)</f>
        <v>Percent</v>
      </c>
      <c r="R584" s="120" t="str">
        <f t="shared" si="63"/>
        <v/>
      </c>
      <c r="S584" s="120" t="str">
        <f t="shared" si="63"/>
        <v/>
      </c>
      <c r="T584" s="120" t="str">
        <f t="shared" si="63"/>
        <v/>
      </c>
    </row>
    <row r="585" spans="1:20" ht="14.1" customHeight="1" x14ac:dyDescent="0.2">
      <c r="A585" s="120" t="str">
        <f>IF(+A$11="","",A$11)</f>
        <v>Line</v>
      </c>
      <c r="B585" s="120" t="str">
        <f t="shared" ref="B585:T585" si="64">IF(+B$11="","",B$11)</f>
        <v/>
      </c>
      <c r="C585" s="120" t="str">
        <f t="shared" si="64"/>
        <v>Rate</v>
      </c>
      <c r="D585" s="120" t="str">
        <f t="shared" si="64"/>
        <v/>
      </c>
      <c r="E585" s="120" t="str">
        <f t="shared" si="64"/>
        <v/>
      </c>
      <c r="F585" s="120" t="str">
        <f t="shared" si="64"/>
        <v/>
      </c>
      <c r="G585" s="120" t="str">
        <f t="shared" si="64"/>
        <v/>
      </c>
      <c r="H585" s="120" t="str">
        <f>IF(+H$11="","",H$11)</f>
        <v/>
      </c>
      <c r="I585" s="120" t="str">
        <f>IF(+I$11="","",I$11)</f>
        <v>Current</v>
      </c>
      <c r="J585" s="120" t="str">
        <f>IF(+J$11="","",J$11)</f>
        <v/>
      </c>
      <c r="K585" s="120"/>
      <c r="L585" s="120" t="str">
        <f t="shared" si="64"/>
        <v>Rate</v>
      </c>
      <c r="M585" s="120" t="str">
        <f t="shared" si="64"/>
        <v/>
      </c>
      <c r="N585" s="120" t="str">
        <f t="shared" si="64"/>
        <v>Proposed</v>
      </c>
      <c r="O585" s="120" t="str">
        <f t="shared" si="64"/>
        <v/>
      </c>
      <c r="Q585" s="120" t="str">
        <f>IF(+Q$11="","",Q$11)</f>
        <v>Increase</v>
      </c>
      <c r="R585" s="120" t="str">
        <f t="shared" si="64"/>
        <v/>
      </c>
      <c r="S585" s="120" t="str">
        <f t="shared" si="64"/>
        <v/>
      </c>
      <c r="T585" s="120" t="str">
        <f t="shared" si="64"/>
        <v/>
      </c>
    </row>
    <row r="586" spans="1:20" ht="14.1" customHeight="1" thickBot="1" x14ac:dyDescent="0.25">
      <c r="A586" s="118" t="str">
        <f>IF(+A$12="","",A$12)</f>
        <v>No.</v>
      </c>
      <c r="B586" s="118" t="str">
        <f t="shared" ref="B586:T586" si="65">IF(+B$12="","",B$12)</f>
        <v/>
      </c>
      <c r="C586" s="118" t="str">
        <f t="shared" si="65"/>
        <v>Schedule</v>
      </c>
      <c r="D586" s="118" t="str">
        <f t="shared" si="65"/>
        <v/>
      </c>
      <c r="E586" s="118"/>
      <c r="F586" s="118" t="str">
        <f t="shared" si="65"/>
        <v>Type of Charge</v>
      </c>
      <c r="G586" s="118"/>
      <c r="H586" s="118" t="str">
        <f>IF(+H$12="","",H$12)</f>
        <v/>
      </c>
      <c r="I586" s="118" t="str">
        <f>IF(+I$12="","",I$12)</f>
        <v>Rate</v>
      </c>
      <c r="J586" s="118" t="str">
        <f>IF(+J$12="","",J$12)</f>
        <v/>
      </c>
      <c r="K586" s="118"/>
      <c r="L586" s="118" t="str">
        <f t="shared" si="65"/>
        <v>Schedule</v>
      </c>
      <c r="M586" s="118" t="str">
        <f t="shared" si="65"/>
        <v/>
      </c>
      <c r="N586" s="118" t="str">
        <f t="shared" si="65"/>
        <v>Rate</v>
      </c>
      <c r="O586" s="118" t="str">
        <f t="shared" si="65"/>
        <v/>
      </c>
      <c r="P586" s="114"/>
      <c r="Q586" s="118" t="str">
        <f>IF(+Q$12="","",Q$12)</f>
        <v>((5)-(3))/(3)</v>
      </c>
      <c r="R586" s="118" t="str">
        <f t="shared" si="65"/>
        <v/>
      </c>
      <c r="S586" s="118" t="str">
        <f t="shared" si="65"/>
        <v/>
      </c>
      <c r="T586" s="118" t="str">
        <f t="shared" si="65"/>
        <v/>
      </c>
    </row>
    <row r="587" spans="1:20" ht="14.1" customHeight="1" x14ac:dyDescent="0.2">
      <c r="A587" s="120">
        <v>1</v>
      </c>
      <c r="B587" s="377"/>
      <c r="C587" s="377"/>
      <c r="D587" s="377"/>
      <c r="E587" s="377"/>
      <c r="F587" s="377"/>
      <c r="G587" s="124"/>
      <c r="H587" s="137"/>
      <c r="J587" s="137"/>
      <c r="K587" s="137"/>
      <c r="L587" s="305"/>
      <c r="M587" s="137"/>
      <c r="N587" s="137"/>
      <c r="O587" s="137"/>
      <c r="Q587" s="137"/>
      <c r="R587" s="137"/>
      <c r="S587" s="137"/>
      <c r="T587" s="137"/>
    </row>
    <row r="588" spans="1:20" ht="14.1" customHeight="1" x14ac:dyDescent="0.2">
      <c r="A588" s="120">
        <v>2</v>
      </c>
      <c r="B588" s="276"/>
      <c r="C588" s="113" t="s">
        <v>1508</v>
      </c>
      <c r="G588" s="124"/>
      <c r="H588" s="137"/>
      <c r="I588" s="288"/>
      <c r="J588" s="137"/>
      <c r="K588" s="137"/>
      <c r="L588" s="137" t="s">
        <v>1509</v>
      </c>
      <c r="M588" s="137"/>
      <c r="N588" s="288"/>
      <c r="O588" s="137"/>
      <c r="Q588" s="127"/>
      <c r="R588" s="137"/>
      <c r="S588" s="137"/>
      <c r="T588" s="137"/>
    </row>
    <row r="589" spans="1:20" ht="14.1" customHeight="1" x14ac:dyDescent="0.2">
      <c r="A589" s="120">
        <v>3</v>
      </c>
      <c r="B589" s="276"/>
      <c r="C589" s="305"/>
      <c r="E589" s="330" t="s">
        <v>1510</v>
      </c>
      <c r="H589" s="137"/>
      <c r="I589" s="288">
        <f>'2027 LS Rate Class E-13c'!J18</f>
        <v>0.71</v>
      </c>
      <c r="J589" s="137" t="s">
        <v>1414</v>
      </c>
      <c r="K589" s="137"/>
      <c r="L589" s="305"/>
      <c r="M589" s="124"/>
      <c r="N589" s="288">
        <f>'2027 LS Rate Class E-13c'!Q18</f>
        <v>0.71</v>
      </c>
      <c r="O589" s="137" t="s">
        <v>1414</v>
      </c>
      <c r="Q589" s="368">
        <f>+(N589-I589)/I589</f>
        <v>0</v>
      </c>
      <c r="R589" s="137"/>
      <c r="S589" s="137"/>
      <c r="T589" s="137"/>
    </row>
    <row r="590" spans="1:20" ht="14.1" customHeight="1" x14ac:dyDescent="0.2">
      <c r="A590" s="120">
        <v>4</v>
      </c>
      <c r="B590" s="276"/>
      <c r="E590" s="323" t="s">
        <v>1511</v>
      </c>
      <c r="G590" s="128"/>
      <c r="H590" s="128"/>
      <c r="Q590" s="369"/>
      <c r="R590" s="128"/>
      <c r="S590" s="128"/>
      <c r="T590" s="128"/>
    </row>
    <row r="591" spans="1:20" ht="14.1" customHeight="1" x14ac:dyDescent="0.2">
      <c r="A591" s="120">
        <v>5</v>
      </c>
      <c r="B591" s="276"/>
      <c r="C591" s="124"/>
      <c r="I591" s="288"/>
      <c r="J591" s="128"/>
      <c r="K591" s="128"/>
      <c r="L591" s="128"/>
      <c r="M591" s="128"/>
      <c r="N591" s="288"/>
      <c r="O591" s="128"/>
      <c r="Q591" s="368"/>
      <c r="R591" s="128"/>
      <c r="S591" s="128"/>
      <c r="T591" s="128"/>
    </row>
    <row r="592" spans="1:20" ht="14.1" customHeight="1" x14ac:dyDescent="0.2">
      <c r="A592" s="120">
        <v>6</v>
      </c>
      <c r="B592" s="276"/>
      <c r="C592" s="124"/>
      <c r="E592" s="113" t="s">
        <v>342</v>
      </c>
      <c r="I592" s="361">
        <f>'2027 LS Rate Class E-13c'!J20</f>
        <v>3.2599999999999997E-2</v>
      </c>
      <c r="J592" s="334" t="s">
        <v>1418</v>
      </c>
      <c r="N592" s="361">
        <f>'2027 LS Rate Class E-13c'!Q20</f>
        <v>3.2599999999999997E-2</v>
      </c>
      <c r="O592" s="334" t="s">
        <v>1418</v>
      </c>
      <c r="Q592" s="368">
        <f>+(N592-I592)/I592</f>
        <v>0</v>
      </c>
      <c r="R592" s="128"/>
      <c r="S592" s="128"/>
      <c r="T592" s="128"/>
    </row>
    <row r="593" spans="1:20" ht="14.1" customHeight="1" x14ac:dyDescent="0.2">
      <c r="A593" s="120">
        <v>7</v>
      </c>
      <c r="B593" s="276"/>
      <c r="C593" s="124"/>
      <c r="R593" s="128"/>
      <c r="S593" s="128"/>
      <c r="T593" s="128"/>
    </row>
    <row r="594" spans="1:20" ht="14.1" customHeight="1" x14ac:dyDescent="0.2">
      <c r="A594" s="120">
        <v>8</v>
      </c>
      <c r="B594" s="276"/>
      <c r="C594" s="124"/>
      <c r="I594" s="351"/>
      <c r="L594" s="128"/>
      <c r="M594" s="128"/>
      <c r="N594" s="351"/>
      <c r="Q594" s="127"/>
      <c r="R594" s="128"/>
      <c r="S594" s="128"/>
      <c r="T594" s="128"/>
    </row>
    <row r="595" spans="1:20" ht="14.1" customHeight="1" x14ac:dyDescent="0.2">
      <c r="A595" s="120">
        <v>9</v>
      </c>
      <c r="B595" s="276"/>
      <c r="C595" s="124"/>
      <c r="I595" s="313"/>
      <c r="L595" s="128"/>
      <c r="M595" s="128"/>
      <c r="N595" s="313"/>
      <c r="Q595" s="128"/>
      <c r="R595" s="128"/>
      <c r="S595" s="128"/>
      <c r="T595" s="128"/>
    </row>
    <row r="596" spans="1:20" ht="14.1" customHeight="1" x14ac:dyDescent="0.2">
      <c r="A596" s="120">
        <v>10</v>
      </c>
      <c r="B596" s="276"/>
      <c r="C596" s="137"/>
      <c r="F596" s="124"/>
      <c r="G596" s="128"/>
      <c r="H596" s="128"/>
      <c r="I596" s="288"/>
      <c r="L596" s="128"/>
      <c r="M596" s="128"/>
      <c r="N596" s="351"/>
      <c r="Q596" s="127"/>
      <c r="R596" s="128"/>
      <c r="S596" s="128"/>
      <c r="T596" s="128"/>
    </row>
    <row r="597" spans="1:20" ht="14.1" customHeight="1" x14ac:dyDescent="0.2">
      <c r="A597" s="120">
        <v>11</v>
      </c>
      <c r="B597" s="276"/>
      <c r="C597" s="137"/>
      <c r="R597" s="128"/>
      <c r="S597" s="128"/>
      <c r="T597" s="128"/>
    </row>
    <row r="598" spans="1:20" ht="14.1" customHeight="1" x14ac:dyDescent="0.2">
      <c r="A598" s="120">
        <v>12</v>
      </c>
      <c r="B598" s="276"/>
      <c r="C598" s="137"/>
      <c r="E598" s="342"/>
      <c r="H598" s="128"/>
      <c r="I598" s="288"/>
      <c r="J598" s="128"/>
      <c r="K598" s="128"/>
      <c r="L598" s="128"/>
      <c r="M598" s="128"/>
      <c r="N598" s="288"/>
      <c r="O598" s="128"/>
      <c r="Q598" s="128"/>
      <c r="R598" s="128"/>
      <c r="S598" s="128"/>
      <c r="T598" s="128"/>
    </row>
    <row r="599" spans="1:20" ht="14.1" customHeight="1" x14ac:dyDescent="0.2">
      <c r="A599" s="120">
        <v>13</v>
      </c>
      <c r="B599" s="276"/>
      <c r="C599" s="137"/>
      <c r="R599" s="128"/>
      <c r="S599" s="128"/>
      <c r="T599" s="128"/>
    </row>
    <row r="600" spans="1:20" ht="14.1" customHeight="1" x14ac:dyDescent="0.2">
      <c r="A600" s="120">
        <v>14</v>
      </c>
      <c r="B600" s="276"/>
      <c r="C600" s="137"/>
      <c r="F600" s="337"/>
      <c r="G600" s="137"/>
      <c r="H600" s="128"/>
      <c r="I600" s="356"/>
      <c r="J600" s="128"/>
      <c r="K600" s="128"/>
      <c r="L600" s="128"/>
      <c r="M600" s="128"/>
      <c r="N600" s="356"/>
      <c r="O600" s="128"/>
      <c r="Q600" s="351"/>
      <c r="R600" s="128"/>
      <c r="S600" s="128"/>
      <c r="T600" s="128"/>
    </row>
    <row r="601" spans="1:20" ht="14.1" customHeight="1" x14ac:dyDescent="0.2">
      <c r="A601" s="120">
        <v>15</v>
      </c>
      <c r="B601" s="276"/>
      <c r="C601" s="137"/>
      <c r="F601" s="337"/>
      <c r="I601" s="356"/>
      <c r="J601" s="128"/>
      <c r="K601" s="128"/>
      <c r="L601" s="128"/>
      <c r="M601" s="128"/>
      <c r="N601" s="356"/>
      <c r="O601" s="128"/>
      <c r="Q601" s="127"/>
      <c r="R601" s="128"/>
      <c r="S601" s="128"/>
      <c r="T601" s="128"/>
    </row>
    <row r="602" spans="1:20" ht="14.1" customHeight="1" x14ac:dyDescent="0.2">
      <c r="A602" s="120">
        <v>16</v>
      </c>
      <c r="B602" s="276"/>
      <c r="C602" s="137"/>
      <c r="F602" s="353"/>
      <c r="I602" s="356"/>
      <c r="J602" s="128"/>
      <c r="K602" s="128"/>
      <c r="N602" s="356"/>
      <c r="O602" s="128"/>
      <c r="Q602" s="351"/>
      <c r="R602" s="128"/>
      <c r="S602" s="128"/>
      <c r="T602" s="128"/>
    </row>
    <row r="603" spans="1:20" ht="14.1" customHeight="1" x14ac:dyDescent="0.2">
      <c r="A603" s="120">
        <v>17</v>
      </c>
      <c r="B603" s="276"/>
      <c r="C603" s="137"/>
      <c r="F603" s="353"/>
      <c r="I603" s="356"/>
      <c r="J603" s="128"/>
      <c r="K603" s="128"/>
      <c r="N603" s="356"/>
      <c r="O603" s="128"/>
      <c r="Q603" s="127"/>
      <c r="R603" s="128"/>
      <c r="S603" s="128"/>
      <c r="T603" s="128"/>
    </row>
    <row r="604" spans="1:20" ht="14.1" customHeight="1" x14ac:dyDescent="0.2">
      <c r="A604" s="120">
        <v>18</v>
      </c>
      <c r="B604" s="276"/>
      <c r="C604" s="137"/>
      <c r="I604" s="356"/>
      <c r="J604" s="128"/>
      <c r="K604" s="128"/>
      <c r="N604" s="356"/>
      <c r="O604" s="128"/>
      <c r="Q604" s="360"/>
      <c r="R604" s="128"/>
      <c r="S604" s="128"/>
      <c r="T604" s="128"/>
    </row>
    <row r="605" spans="1:20" ht="14.1" customHeight="1" x14ac:dyDescent="0.2">
      <c r="A605" s="120">
        <v>19</v>
      </c>
      <c r="B605" s="276"/>
      <c r="C605" s="137"/>
      <c r="F605" s="337"/>
      <c r="I605" s="356"/>
      <c r="J605" s="128"/>
      <c r="K605" s="128"/>
      <c r="N605" s="356"/>
      <c r="O605" s="128"/>
      <c r="Q605" s="351"/>
      <c r="R605" s="128"/>
      <c r="S605" s="128"/>
      <c r="T605" s="128"/>
    </row>
    <row r="606" spans="1:20" ht="14.1" customHeight="1" x14ac:dyDescent="0.2">
      <c r="A606" s="120">
        <v>20</v>
      </c>
      <c r="B606" s="276"/>
      <c r="C606" s="137"/>
      <c r="F606" s="337"/>
      <c r="I606" s="356"/>
      <c r="J606" s="128"/>
      <c r="K606" s="128"/>
      <c r="N606" s="356"/>
      <c r="O606" s="128"/>
      <c r="Q606" s="127"/>
      <c r="R606" s="128"/>
      <c r="S606" s="128"/>
      <c r="T606" s="128"/>
    </row>
    <row r="607" spans="1:20" ht="14.1" customHeight="1" x14ac:dyDescent="0.2">
      <c r="A607" s="120">
        <v>21</v>
      </c>
      <c r="B607" s="276"/>
      <c r="C607" s="137"/>
      <c r="R607" s="128"/>
      <c r="S607" s="128"/>
      <c r="T607" s="128"/>
    </row>
    <row r="608" spans="1:20" ht="14.1" customHeight="1" x14ac:dyDescent="0.2">
      <c r="A608" s="120">
        <v>22</v>
      </c>
      <c r="B608" s="276"/>
      <c r="C608" s="137"/>
      <c r="R608" s="128"/>
      <c r="S608" s="128"/>
      <c r="T608" s="128"/>
    </row>
    <row r="609" spans="1:20" ht="14.1" customHeight="1" x14ac:dyDescent="0.2">
      <c r="A609" s="120">
        <v>23</v>
      </c>
      <c r="B609" s="276"/>
      <c r="C609" s="137"/>
      <c r="R609" s="128"/>
      <c r="S609" s="128"/>
      <c r="T609" s="128"/>
    </row>
    <row r="610" spans="1:20" ht="14.1" customHeight="1" x14ac:dyDescent="0.2">
      <c r="A610" s="120">
        <v>24</v>
      </c>
      <c r="B610" s="276"/>
      <c r="C610" s="137"/>
      <c r="G610" s="137"/>
      <c r="H610" s="128"/>
      <c r="I610" s="339"/>
      <c r="J610" s="128"/>
      <c r="K610" s="128"/>
      <c r="L610" s="128"/>
      <c r="M610" s="128"/>
      <c r="N610" s="339"/>
      <c r="O610" s="128"/>
      <c r="Q610" s="128"/>
      <c r="R610" s="128"/>
      <c r="S610" s="128"/>
      <c r="T610" s="128"/>
    </row>
    <row r="611" spans="1:20" ht="14.1" customHeight="1" x14ac:dyDescent="0.2">
      <c r="A611" s="120">
        <v>25</v>
      </c>
      <c r="B611" s="276"/>
      <c r="C611" s="137"/>
      <c r="R611" s="128"/>
      <c r="S611" s="128"/>
      <c r="T611" s="128"/>
    </row>
    <row r="612" spans="1:20" ht="14.1" customHeight="1" x14ac:dyDescent="0.2">
      <c r="A612" s="120">
        <v>26</v>
      </c>
      <c r="B612" s="276"/>
      <c r="C612" s="137"/>
      <c r="R612" s="128"/>
      <c r="S612" s="128"/>
      <c r="T612" s="128"/>
    </row>
    <row r="613" spans="1:20" ht="14.1" customHeight="1" x14ac:dyDescent="0.2">
      <c r="A613" s="120">
        <v>27</v>
      </c>
      <c r="B613" s="276"/>
      <c r="C613" s="137"/>
      <c r="R613" s="128"/>
      <c r="S613" s="128"/>
      <c r="T613" s="128"/>
    </row>
    <row r="614" spans="1:20" ht="14.1" customHeight="1" x14ac:dyDescent="0.2">
      <c r="A614" s="120">
        <v>28</v>
      </c>
      <c r="B614" s="276"/>
      <c r="C614" s="137"/>
      <c r="R614" s="128"/>
      <c r="S614" s="128"/>
      <c r="T614" s="128"/>
    </row>
    <row r="615" spans="1:20" ht="14.1" customHeight="1" x14ac:dyDescent="0.2">
      <c r="A615" s="120">
        <v>29</v>
      </c>
      <c r="B615" s="276"/>
      <c r="C615" s="137"/>
      <c r="R615" s="128"/>
      <c r="S615" s="128"/>
      <c r="T615" s="128"/>
    </row>
    <row r="616" spans="1:20" ht="14.1" customHeight="1" x14ac:dyDescent="0.2">
      <c r="A616" s="120">
        <v>30</v>
      </c>
      <c r="B616" s="276"/>
      <c r="C616" s="137"/>
      <c r="R616" s="128"/>
      <c r="S616" s="128"/>
      <c r="T616" s="128"/>
    </row>
    <row r="617" spans="1:20" ht="14.1" customHeight="1" x14ac:dyDescent="0.2">
      <c r="A617" s="120">
        <v>31</v>
      </c>
      <c r="B617" s="276"/>
      <c r="C617" s="137"/>
      <c r="R617" s="128"/>
      <c r="S617" s="128"/>
      <c r="T617" s="128"/>
    </row>
    <row r="618" spans="1:20" ht="14.1" customHeight="1" x14ac:dyDescent="0.2">
      <c r="A618" s="120">
        <v>32</v>
      </c>
      <c r="B618" s="276"/>
      <c r="C618" s="137"/>
      <c r="R618" s="128"/>
      <c r="S618" s="128"/>
      <c r="T618" s="128"/>
    </row>
    <row r="619" spans="1:20" ht="14.1" customHeight="1" x14ac:dyDescent="0.2">
      <c r="A619" s="120">
        <v>33</v>
      </c>
      <c r="B619" s="276"/>
      <c r="C619" s="137"/>
      <c r="R619" s="128"/>
      <c r="S619" s="128"/>
      <c r="T619" s="128"/>
    </row>
    <row r="620" spans="1:20" ht="14.1" customHeight="1" x14ac:dyDescent="0.2">
      <c r="A620" s="120">
        <v>34</v>
      </c>
      <c r="B620" s="276"/>
      <c r="C620" s="137"/>
      <c r="R620" s="128"/>
      <c r="S620" s="128"/>
      <c r="T620" s="128"/>
    </row>
    <row r="621" spans="1:20" ht="14.1" customHeight="1" x14ac:dyDescent="0.2">
      <c r="A621" s="120">
        <v>35</v>
      </c>
      <c r="B621" s="276"/>
      <c r="C621" s="137"/>
      <c r="R621" s="128"/>
      <c r="S621" s="128"/>
      <c r="T621" s="128"/>
    </row>
    <row r="622" spans="1:20" ht="14.1" customHeight="1" thickBot="1" x14ac:dyDescent="0.25">
      <c r="A622" s="370">
        <v>36</v>
      </c>
      <c r="B622" s="343"/>
      <c r="C622" s="344"/>
      <c r="D622" s="114"/>
      <c r="E622" s="114"/>
      <c r="F622" s="114"/>
      <c r="G622" s="114"/>
      <c r="H622" s="114"/>
      <c r="I622" s="114"/>
      <c r="J622" s="114"/>
      <c r="K622" s="114"/>
      <c r="L622" s="114"/>
      <c r="M622" s="114"/>
      <c r="N622" s="114"/>
      <c r="O622" s="114"/>
      <c r="P622" s="114"/>
      <c r="Q622" s="114"/>
      <c r="R622" s="346"/>
      <c r="S622" s="346"/>
      <c r="T622" s="346"/>
    </row>
    <row r="623" spans="1:20" ht="14.1" customHeight="1" x14ac:dyDescent="0.2">
      <c r="A623" s="113" t="str">
        <f>+$A$49</f>
        <v>Supporting Schedules:  E-7, E-14 Supplement</v>
      </c>
      <c r="R623" s="113" t="s">
        <v>1369</v>
      </c>
    </row>
  </sheetData>
  <mergeCells count="3">
    <mergeCell ref="B301:D301"/>
    <mergeCell ref="B493:F493"/>
    <mergeCell ref="B587:F587"/>
  </mergeCells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D3EC-A01A-4EC4-9EBD-9F101D406667}">
  <sheetPr>
    <pageSetUpPr fitToPage="1"/>
  </sheetPr>
  <dimension ref="A1:X69"/>
  <sheetViews>
    <sheetView topLeftCell="A66" zoomScale="140" zoomScaleNormal="140" workbookViewId="0">
      <selection activeCell="A14" sqref="A14:A62"/>
    </sheetView>
  </sheetViews>
  <sheetFormatPr defaultColWidth="9.140625" defaultRowHeight="14.1" customHeight="1" x14ac:dyDescent="0.2"/>
  <cols>
    <col min="1" max="1" width="3.5703125" style="113" customWidth="1"/>
    <col min="2" max="2" width="6.85546875" style="113" bestFit="1" customWidth="1"/>
    <col min="3" max="4" width="9.5703125" style="113" customWidth="1"/>
    <col min="5" max="5" width="13.5703125" style="113" customWidth="1"/>
    <col min="6" max="6" width="12" style="113" bestFit="1" customWidth="1"/>
    <col min="7" max="7" width="15.140625" style="113" bestFit="1" customWidth="1"/>
    <col min="8" max="8" width="7" style="113" customWidth="1"/>
    <col min="9" max="9" width="12" style="113" bestFit="1" customWidth="1"/>
    <col min="10" max="10" width="8.140625" style="113" customWidth="1"/>
    <col min="11" max="11" width="12" style="113" bestFit="1" customWidth="1"/>
    <col min="12" max="12" width="11.7109375" style="113" customWidth="1"/>
    <col min="13" max="13" width="9.85546875" style="113" customWidth="1"/>
    <col min="14" max="14" width="9.42578125" style="113" customWidth="1"/>
    <col min="15" max="15" width="8.85546875" style="113" customWidth="1"/>
    <col min="16" max="16" width="9.5703125" style="113" customWidth="1"/>
    <col min="17" max="17" width="28.28515625" style="113" bestFit="1" customWidth="1"/>
    <col min="18" max="18" width="14.140625" style="113" bestFit="1" customWidth="1"/>
    <col min="19" max="19" width="9.5703125" style="113" customWidth="1"/>
    <col min="20" max="20" width="15" style="113" bestFit="1" customWidth="1"/>
    <col min="21" max="16384" width="9.140625" style="113"/>
  </cols>
  <sheetData>
    <row r="1" spans="1:24" ht="14.1" hidden="1" customHeight="1" x14ac:dyDescent="0.2">
      <c r="C1" s="113">
        <v>2</v>
      </c>
      <c r="F1" s="113">
        <v>3</v>
      </c>
      <c r="G1" s="113">
        <v>4</v>
      </c>
      <c r="H1" s="113">
        <v>5</v>
      </c>
      <c r="I1" s="113">
        <v>6</v>
      </c>
      <c r="L1" s="113">
        <v>7</v>
      </c>
      <c r="M1" s="113">
        <v>9</v>
      </c>
      <c r="N1" s="113">
        <v>10</v>
      </c>
      <c r="O1" s="113">
        <v>13</v>
      </c>
      <c r="P1" s="113">
        <v>14</v>
      </c>
      <c r="Q1" s="113">
        <v>15</v>
      </c>
      <c r="R1" s="113">
        <v>17</v>
      </c>
    </row>
    <row r="2" spans="1:24" ht="14.1" hidden="1" customHeight="1" x14ac:dyDescent="0.2">
      <c r="R2" s="113">
        <v>1</v>
      </c>
    </row>
    <row r="3" spans="1:24" ht="14.1" customHeight="1" x14ac:dyDescent="0.2">
      <c r="H3" s="378"/>
      <c r="I3" s="378"/>
      <c r="J3" s="378"/>
      <c r="K3" s="378"/>
      <c r="L3" s="378"/>
    </row>
    <row r="4" spans="1:24" ht="14.1" customHeight="1" thickBot="1" x14ac:dyDescent="0.25">
      <c r="A4" s="114" t="s">
        <v>843</v>
      </c>
      <c r="B4" s="114"/>
      <c r="C4" s="114"/>
      <c r="D4" s="114"/>
      <c r="E4" s="114"/>
      <c r="F4" s="114"/>
      <c r="G4" s="114"/>
      <c r="H4" s="114" t="s">
        <v>844</v>
      </c>
      <c r="I4" s="114"/>
      <c r="J4" s="114"/>
      <c r="K4" s="114"/>
      <c r="L4" s="114"/>
      <c r="M4" s="114"/>
      <c r="N4" s="114"/>
      <c r="O4" s="114"/>
      <c r="P4" s="114"/>
      <c r="Q4" s="114"/>
      <c r="R4" s="114" t="str">
        <f>"Page 1 of " &amp; R$2</f>
        <v>Page 1 of 1</v>
      </c>
    </row>
    <row r="5" spans="1:24" ht="14.1" customHeight="1" x14ac:dyDescent="0.2">
      <c r="A5" s="113" t="s">
        <v>307</v>
      </c>
      <c r="F5" s="113" t="s">
        <v>308</v>
      </c>
      <c r="H5" s="8" t="s">
        <v>920</v>
      </c>
      <c r="M5" s="115"/>
      <c r="O5" s="115" t="s">
        <v>845</v>
      </c>
      <c r="R5" s="116"/>
      <c r="S5" s="116"/>
    </row>
    <row r="6" spans="1:24" ht="14.1" customHeight="1" x14ac:dyDescent="0.2">
      <c r="H6" s="8" t="s">
        <v>921</v>
      </c>
      <c r="M6" s="116"/>
      <c r="O6" s="117"/>
      <c r="P6" s="117" t="s">
        <v>916</v>
      </c>
      <c r="Q6" s="116" t="s">
        <v>1512</v>
      </c>
      <c r="R6" s="8"/>
      <c r="S6" s="116"/>
    </row>
    <row r="7" spans="1:24" ht="14.1" customHeight="1" x14ac:dyDescent="0.2">
      <c r="A7" s="113" t="s">
        <v>310</v>
      </c>
      <c r="H7" s="8" t="s">
        <v>922</v>
      </c>
      <c r="M7" s="116"/>
      <c r="N7" s="117"/>
      <c r="O7" s="117"/>
      <c r="P7" s="265"/>
      <c r="Q7" s="116"/>
      <c r="R7" s="8"/>
      <c r="S7" s="116"/>
    </row>
    <row r="8" spans="1:24" ht="14.1" customHeight="1" x14ac:dyDescent="0.2">
      <c r="H8" s="8" t="s">
        <v>923</v>
      </c>
      <c r="M8" s="116"/>
      <c r="N8" s="117"/>
      <c r="O8" s="117"/>
      <c r="P8" s="265"/>
      <c r="Q8" s="116"/>
      <c r="R8" s="8"/>
      <c r="S8" s="116"/>
    </row>
    <row r="9" spans="1:24" ht="14.1" customHeight="1" thickBot="1" x14ac:dyDescent="0.25">
      <c r="A9" s="114" t="s">
        <v>1292</v>
      </c>
      <c r="B9" s="114"/>
      <c r="C9" s="114"/>
      <c r="D9" s="114"/>
      <c r="E9" s="114"/>
      <c r="F9" s="114"/>
      <c r="G9" s="114"/>
      <c r="H9" s="114"/>
      <c r="I9" s="118"/>
      <c r="J9" s="118"/>
      <c r="K9" s="114"/>
      <c r="L9" s="114"/>
      <c r="M9" s="114"/>
      <c r="N9" s="114"/>
      <c r="O9" s="114"/>
      <c r="P9" s="264"/>
      <c r="Q9" s="114" t="s">
        <v>1519</v>
      </c>
      <c r="R9" s="114"/>
    </row>
    <row r="10" spans="1:24" ht="14.1" customHeight="1" x14ac:dyDescent="0.2"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</row>
    <row r="11" spans="1:24" ht="14.1" customHeight="1" x14ac:dyDescent="0.2">
      <c r="B11" s="120"/>
      <c r="C11" s="120"/>
      <c r="D11" s="119"/>
      <c r="E11" s="119"/>
      <c r="F11" s="119"/>
      <c r="G11" s="119" t="s">
        <v>846</v>
      </c>
      <c r="I11" s="119" t="s">
        <v>847</v>
      </c>
      <c r="L11" s="119" t="s">
        <v>848</v>
      </c>
      <c r="M11" s="119" t="s">
        <v>849</v>
      </c>
      <c r="O11" s="119"/>
    </row>
    <row r="12" spans="1:24" ht="14.1" customHeight="1" x14ac:dyDescent="0.2">
      <c r="B12" s="120"/>
      <c r="C12" s="120"/>
      <c r="D12" s="119"/>
      <c r="E12" s="119"/>
      <c r="F12" s="119"/>
      <c r="G12" s="119" t="s">
        <v>850</v>
      </c>
      <c r="I12" s="120" t="s">
        <v>850</v>
      </c>
      <c r="L12" s="120"/>
      <c r="M12" s="119"/>
      <c r="N12" s="119"/>
      <c r="O12" s="119"/>
    </row>
    <row r="13" spans="1:24" ht="14.1" customHeight="1" x14ac:dyDescent="0.2">
      <c r="B13" s="120"/>
      <c r="C13" s="120"/>
      <c r="G13" s="120" t="s">
        <v>851</v>
      </c>
      <c r="I13" s="120" t="s">
        <v>851</v>
      </c>
      <c r="L13" s="374"/>
      <c r="M13" s="374"/>
      <c r="O13" s="120"/>
    </row>
    <row r="14" spans="1:24" ht="14.1" customHeight="1" x14ac:dyDescent="0.2">
      <c r="A14" s="120" t="s">
        <v>313</v>
      </c>
      <c r="B14" s="120"/>
      <c r="C14" s="120"/>
      <c r="D14" s="120"/>
      <c r="G14" s="120" t="s">
        <v>852</v>
      </c>
      <c r="I14" s="120" t="s">
        <v>853</v>
      </c>
      <c r="L14" s="119" t="s">
        <v>854</v>
      </c>
      <c r="M14" s="120" t="s">
        <v>855</v>
      </c>
      <c r="O14" s="120"/>
    </row>
    <row r="15" spans="1:24" ht="14.1" customHeight="1" thickBot="1" x14ac:dyDescent="0.25">
      <c r="A15" s="118" t="s">
        <v>319</v>
      </c>
      <c r="B15" s="118"/>
      <c r="C15" s="118" t="s">
        <v>856</v>
      </c>
      <c r="D15" s="118"/>
      <c r="E15" s="114"/>
      <c r="F15" s="114"/>
      <c r="G15" s="118" t="s">
        <v>857</v>
      </c>
      <c r="H15" s="114"/>
      <c r="I15" s="118" t="s">
        <v>857</v>
      </c>
      <c r="J15" s="114"/>
      <c r="K15" s="114"/>
      <c r="L15" s="121" t="s">
        <v>858</v>
      </c>
      <c r="M15" s="118" t="s">
        <v>859</v>
      </c>
      <c r="N15" s="114"/>
      <c r="O15" s="121"/>
      <c r="P15" s="121"/>
      <c r="Q15" s="121"/>
      <c r="R15" s="121"/>
      <c r="S15" s="122"/>
      <c r="T15" s="123"/>
      <c r="U15" s="123"/>
    </row>
    <row r="16" spans="1:24" ht="14.1" customHeight="1" x14ac:dyDescent="0.2">
      <c r="A16" s="120">
        <v>1</v>
      </c>
      <c r="B16" s="124"/>
      <c r="C16" s="147" t="s">
        <v>860</v>
      </c>
      <c r="D16" s="124"/>
      <c r="G16" s="122">
        <f>+'2027 RS Rate Class E-13c'!L39</f>
        <v>1165080508.2696974</v>
      </c>
      <c r="H16" s="122"/>
      <c r="I16" s="122">
        <f>+'2027 RS Rate Class E-13c'!S39</f>
        <v>1211893578.5813401</v>
      </c>
      <c r="J16" s="122"/>
      <c r="K16" s="123"/>
      <c r="L16" s="122">
        <f>+I16-G16</f>
        <v>46813070.311642647</v>
      </c>
      <c r="M16" s="125">
        <f t="shared" ref="M16:M24" si="0">+L16/G16</f>
        <v>4.0180116291848714E-2</v>
      </c>
      <c r="O16" s="124"/>
      <c r="P16" s="126"/>
      <c r="S16" s="122"/>
      <c r="T16" s="127"/>
      <c r="U16" s="127"/>
      <c r="W16" s="127"/>
      <c r="X16" s="122"/>
    </row>
    <row r="17" spans="1:24" ht="14.1" customHeight="1" x14ac:dyDescent="0.2">
      <c r="A17" s="120">
        <v>2</v>
      </c>
      <c r="B17" s="124"/>
      <c r="C17" s="147" t="s">
        <v>861</v>
      </c>
      <c r="G17" s="122">
        <f>+'2027 GS Rate Class E-13c'!L41</f>
        <v>102188521.45576386</v>
      </c>
      <c r="I17" s="122">
        <f>+'2027 GS Rate Class E-13c'!S41</f>
        <v>106294446.17463733</v>
      </c>
      <c r="K17" s="123"/>
      <c r="L17" s="122">
        <f t="shared" ref="L17:L27" si="1">+I17-G17</f>
        <v>4105924.718873471</v>
      </c>
      <c r="M17" s="125">
        <f t="shared" si="0"/>
        <v>4.0179901425140739E-2</v>
      </c>
      <c r="O17" s="122"/>
      <c r="P17" s="126"/>
      <c r="S17" s="122"/>
      <c r="T17" s="127"/>
      <c r="U17" s="127"/>
      <c r="W17" s="127"/>
      <c r="X17" s="122"/>
    </row>
    <row r="18" spans="1:24" ht="14.1" customHeight="1" x14ac:dyDescent="0.2">
      <c r="A18" s="120">
        <v>3</v>
      </c>
      <c r="B18" s="124"/>
      <c r="C18" s="147" t="s">
        <v>359</v>
      </c>
      <c r="G18" s="122">
        <f>+'2027 GS Rate Class E-13c'!L82</f>
        <v>2908215.0548443524</v>
      </c>
      <c r="I18" s="122">
        <f>+'2027 GS Rate Class E-13c'!S82</f>
        <v>3025089.7180378987</v>
      </c>
      <c r="K18" s="123"/>
      <c r="L18" s="122">
        <f t="shared" si="1"/>
        <v>116874.66319354624</v>
      </c>
      <c r="M18" s="125">
        <f t="shared" si="0"/>
        <v>4.0187764999999757E-2</v>
      </c>
      <c r="O18" s="122"/>
      <c r="P18" s="126"/>
      <c r="S18" s="122"/>
      <c r="T18" s="127"/>
      <c r="U18" s="127"/>
      <c r="W18" s="127"/>
      <c r="X18" s="122"/>
    </row>
    <row r="19" spans="1:24" ht="14.1" customHeight="1" x14ac:dyDescent="0.2">
      <c r="A19" s="120">
        <v>4</v>
      </c>
      <c r="B19" s="124"/>
      <c r="C19" s="147" t="s">
        <v>718</v>
      </c>
      <c r="G19" s="122">
        <f>+'2027 GSD Rate Class E-13c'!M107</f>
        <v>402188403.31503129</v>
      </c>
      <c r="I19" s="122">
        <f>+'2027 GSD Rate Class E-13c'!T107</f>
        <v>418345756.44811445</v>
      </c>
      <c r="K19" s="123"/>
      <c r="L19" s="122">
        <f t="shared" si="1"/>
        <v>16157353.133083165</v>
      </c>
      <c r="M19" s="125">
        <f t="shared" si="0"/>
        <v>4.0173592773701201E-2</v>
      </c>
      <c r="O19" s="128"/>
      <c r="P19" s="126"/>
      <c r="S19" s="122"/>
      <c r="T19" s="127"/>
      <c r="U19" s="127"/>
      <c r="W19" s="127"/>
      <c r="X19" s="122"/>
    </row>
    <row r="20" spans="1:24" ht="14.1" customHeight="1" x14ac:dyDescent="0.2">
      <c r="A20" s="120">
        <v>5</v>
      </c>
      <c r="B20" s="124"/>
      <c r="C20" s="147" t="s">
        <v>716</v>
      </c>
      <c r="G20" s="122">
        <f>+'2027 GSD Rate Class E-13c'!M162</f>
        <v>33258973.931340408</v>
      </c>
      <c r="H20" s="126"/>
      <c r="I20" s="122">
        <f>+'2027 GSD Rate Class E-13c'!T162</f>
        <v>34597947.55187206</v>
      </c>
      <c r="J20" s="126"/>
      <c r="K20" s="123"/>
      <c r="L20" s="122">
        <f t="shared" si="1"/>
        <v>1338973.6205316521</v>
      </c>
      <c r="M20" s="125">
        <f t="shared" si="0"/>
        <v>4.0259017710402606E-2</v>
      </c>
      <c r="O20" s="128"/>
      <c r="P20" s="126"/>
      <c r="S20" s="122"/>
      <c r="T20" s="127"/>
      <c r="U20" s="127"/>
      <c r="W20" s="127"/>
      <c r="X20" s="122"/>
    </row>
    <row r="21" spans="1:24" ht="14.1" customHeight="1" x14ac:dyDescent="0.2">
      <c r="A21" s="120">
        <v>6</v>
      </c>
      <c r="B21" s="124"/>
      <c r="C21" s="147" t="s">
        <v>862</v>
      </c>
      <c r="G21" s="122">
        <f>+'2027 GSLDPR Rate Class E-13c'!L54</f>
        <v>49704548.169002153</v>
      </c>
      <c r="I21" s="122">
        <f>+'2027 GSLDPR Rate Class E-13c'!S54</f>
        <v>51701683.127501197</v>
      </c>
      <c r="K21" s="123"/>
      <c r="L21" s="122">
        <f t="shared" si="1"/>
        <v>1997134.9584990442</v>
      </c>
      <c r="M21" s="125">
        <f t="shared" si="0"/>
        <v>4.018012500000033E-2</v>
      </c>
      <c r="O21" s="128"/>
      <c r="P21" s="126"/>
      <c r="Q21" s="126"/>
      <c r="S21" s="122"/>
      <c r="T21" s="127"/>
      <c r="U21" s="127"/>
      <c r="W21" s="127"/>
      <c r="X21" s="122"/>
    </row>
    <row r="22" spans="1:24" ht="14.1" customHeight="1" x14ac:dyDescent="0.2">
      <c r="A22" s="120">
        <v>7</v>
      </c>
      <c r="B22" s="124"/>
      <c r="C22" s="147" t="s">
        <v>863</v>
      </c>
      <c r="G22" s="122">
        <f>+'2027 GSLDSU Rate Class E-13c'!L50</f>
        <v>10256342.736213179</v>
      </c>
      <c r="I22" s="122">
        <f>+'2027 GSLDSU Rate Class E-13c'!S50</f>
        <v>10668443.920678779</v>
      </c>
      <c r="K22" s="123"/>
      <c r="L22" s="122">
        <f t="shared" si="1"/>
        <v>412101.18446560018</v>
      </c>
      <c r="M22" s="125">
        <f t="shared" si="0"/>
        <v>4.0180129999999897E-2</v>
      </c>
      <c r="O22" s="128"/>
      <c r="P22" s="126"/>
      <c r="S22" s="122"/>
      <c r="T22" s="127"/>
      <c r="U22" s="127"/>
      <c r="W22" s="127"/>
      <c r="X22" s="122"/>
    </row>
    <row r="23" spans="1:24" ht="14.1" customHeight="1" x14ac:dyDescent="0.2">
      <c r="A23" s="120">
        <v>8</v>
      </c>
      <c r="B23" s="124"/>
      <c r="C23" s="147" t="s">
        <v>864</v>
      </c>
      <c r="G23" s="122">
        <f>+'2027 GSD Rate Class E-13c'!M361</f>
        <v>0</v>
      </c>
      <c r="I23" s="122">
        <f>+'2027 GSD Rate Class E-13c'!T361</f>
        <v>0</v>
      </c>
      <c r="L23" s="122">
        <f t="shared" si="1"/>
        <v>0</v>
      </c>
      <c r="M23" s="125">
        <v>0</v>
      </c>
      <c r="O23" s="128"/>
      <c r="P23" s="126"/>
      <c r="Q23" s="126"/>
      <c r="S23" s="122"/>
      <c r="T23" s="127"/>
      <c r="U23" s="127"/>
      <c r="W23" s="127"/>
      <c r="X23" s="122"/>
    </row>
    <row r="24" spans="1:24" ht="14.1" customHeight="1" x14ac:dyDescent="0.2">
      <c r="A24" s="120">
        <v>9</v>
      </c>
      <c r="B24" s="124"/>
      <c r="C24" s="113" t="s">
        <v>744</v>
      </c>
      <c r="G24" s="122">
        <f>+'2027 GSLDPR Rate Class E-13c'!L144</f>
        <v>1038241.2534453657</v>
      </c>
      <c r="I24" s="122">
        <f>+'2027 GSLDPR Rate Class E-13c'!S144</f>
        <v>1079957.9167889571</v>
      </c>
      <c r="L24" s="122">
        <f t="shared" si="1"/>
        <v>41716.663343591383</v>
      </c>
      <c r="M24" s="125">
        <f t="shared" si="0"/>
        <v>4.0180124999999914E-2</v>
      </c>
      <c r="O24" s="128"/>
      <c r="P24" s="126"/>
      <c r="S24" s="122"/>
      <c r="T24" s="127"/>
      <c r="U24" s="127"/>
      <c r="W24" s="127"/>
      <c r="X24" s="122"/>
    </row>
    <row r="25" spans="1:24" ht="14.1" customHeight="1" x14ac:dyDescent="0.2">
      <c r="A25" s="120">
        <v>10</v>
      </c>
      <c r="B25" s="124"/>
      <c r="C25" s="113" t="s">
        <v>767</v>
      </c>
      <c r="G25" s="122">
        <f>+'2027 GSLDSU Rate Class E-13c'!L138</f>
        <v>21522484.263787687</v>
      </c>
      <c r="I25" s="122">
        <f>+'2027 GSLDSU Rate Class E-13c'!S138</f>
        <v>22387260.479429632</v>
      </c>
      <c r="L25" s="122">
        <f t="shared" si="1"/>
        <v>864776.2156419456</v>
      </c>
      <c r="M25" s="125">
        <f>+L25/G25</f>
        <v>4.0180130000000099E-2</v>
      </c>
      <c r="O25" s="128"/>
      <c r="P25" s="126"/>
      <c r="Q25" s="126"/>
      <c r="S25" s="122"/>
      <c r="T25" s="127"/>
      <c r="U25" s="127"/>
      <c r="W25" s="127"/>
      <c r="X25" s="122"/>
    </row>
    <row r="26" spans="1:24" ht="14.1" customHeight="1" x14ac:dyDescent="0.2">
      <c r="A26" s="120">
        <v>11</v>
      </c>
      <c r="B26" s="124"/>
      <c r="C26" s="113" t="s">
        <v>865</v>
      </c>
      <c r="G26" s="122">
        <f>+'2027 LS Rate Class E-13c'!L23</f>
        <v>3573046.9034759998</v>
      </c>
      <c r="I26" s="122">
        <f>+'2027 LS Rate Class E-13c'!S23</f>
        <v>3573046.9034759998</v>
      </c>
      <c r="L26" s="122">
        <f t="shared" si="1"/>
        <v>0</v>
      </c>
      <c r="M26" s="125">
        <f>+L26/G26</f>
        <v>0</v>
      </c>
      <c r="O26" s="128"/>
      <c r="S26" s="122"/>
      <c r="T26" s="127"/>
      <c r="U26" s="127"/>
      <c r="W26" s="127"/>
      <c r="X26" s="122"/>
    </row>
    <row r="27" spans="1:24" ht="14.1" customHeight="1" thickBot="1" x14ac:dyDescent="0.25">
      <c r="A27" s="120">
        <v>12</v>
      </c>
      <c r="B27" s="124"/>
      <c r="C27" s="113" t="s">
        <v>1264</v>
      </c>
      <c r="G27" s="170">
        <f>+'E-13d'!N341</f>
        <v>82707820.715172112</v>
      </c>
      <c r="I27" s="170">
        <f>+'E-13d'!S341</f>
        <v>82707820.715172112</v>
      </c>
      <c r="L27" s="122">
        <f t="shared" si="1"/>
        <v>0</v>
      </c>
      <c r="M27" s="125">
        <f>+L27/G27</f>
        <v>0</v>
      </c>
      <c r="N27" s="114"/>
      <c r="O27" s="121"/>
      <c r="P27" s="121"/>
      <c r="Q27" s="121"/>
      <c r="R27" s="121"/>
      <c r="S27" s="122"/>
      <c r="T27" s="127"/>
      <c r="U27" s="127"/>
      <c r="W27" s="127"/>
      <c r="X27" s="122"/>
    </row>
    <row r="28" spans="1:24" ht="14.1" customHeight="1" x14ac:dyDescent="0.2">
      <c r="A28" s="120">
        <v>13</v>
      </c>
      <c r="B28" s="124"/>
      <c r="C28" s="129" t="s">
        <v>1517</v>
      </c>
      <c r="D28" s="129"/>
      <c r="E28" s="129"/>
      <c r="F28" s="129"/>
      <c r="G28" s="130">
        <f>+SUM(G16:G27)</f>
        <v>1874427106.0677738</v>
      </c>
      <c r="H28" s="129"/>
      <c r="I28" s="130">
        <f>+SUM(I16:I27)</f>
        <v>1946275031.5370486</v>
      </c>
      <c r="J28" s="129"/>
      <c r="K28" s="129"/>
      <c r="L28" s="130">
        <f>SUM(L16:L27)</f>
        <v>71847925.46927467</v>
      </c>
      <c r="M28" s="131">
        <f>+L28/G28</f>
        <v>3.8330605248234638E-2</v>
      </c>
      <c r="O28" s="128"/>
      <c r="S28" s="122"/>
      <c r="T28" s="127"/>
      <c r="U28" s="127"/>
      <c r="W28" s="127"/>
      <c r="X28" s="122"/>
    </row>
    <row r="29" spans="1:24" ht="14.1" customHeight="1" x14ac:dyDescent="0.2">
      <c r="A29" s="120">
        <v>14</v>
      </c>
      <c r="B29" s="124"/>
      <c r="O29" s="128"/>
      <c r="P29" s="126"/>
      <c r="Q29" s="126"/>
      <c r="R29" s="126"/>
      <c r="S29" s="122"/>
      <c r="T29" s="127"/>
      <c r="U29" s="127"/>
      <c r="W29" s="127"/>
      <c r="X29" s="122"/>
    </row>
    <row r="30" spans="1:24" ht="14.1" customHeight="1" x14ac:dyDescent="0.2">
      <c r="A30" s="120">
        <v>15</v>
      </c>
      <c r="B30" s="124"/>
      <c r="G30" s="126"/>
      <c r="O30" s="128"/>
      <c r="S30" s="122"/>
      <c r="T30" s="127"/>
      <c r="U30" s="127"/>
      <c r="W30" s="127"/>
      <c r="X30" s="122"/>
    </row>
    <row r="31" spans="1:24" ht="14.1" customHeight="1" x14ac:dyDescent="0.2">
      <c r="A31" s="120">
        <v>16</v>
      </c>
      <c r="B31" s="124"/>
      <c r="F31" s="122"/>
      <c r="G31" s="126"/>
      <c r="I31" s="126"/>
      <c r="O31" s="128"/>
      <c r="S31" s="122"/>
      <c r="T31" s="127"/>
      <c r="U31" s="127"/>
      <c r="W31" s="127"/>
      <c r="X31" s="122"/>
    </row>
    <row r="32" spans="1:24" ht="14.1" customHeight="1" x14ac:dyDescent="0.2">
      <c r="A32" s="120">
        <v>17</v>
      </c>
      <c r="B32" s="124"/>
      <c r="G32" s="145"/>
      <c r="O32" s="128"/>
      <c r="Q32" s="126"/>
      <c r="S32" s="122"/>
      <c r="T32" s="127"/>
      <c r="U32" s="127"/>
      <c r="W32" s="127"/>
      <c r="X32" s="122"/>
    </row>
    <row r="33" spans="1:24" ht="14.1" customHeight="1" x14ac:dyDescent="0.2">
      <c r="A33" s="120">
        <v>18</v>
      </c>
      <c r="B33" s="124"/>
      <c r="G33" s="126"/>
      <c r="O33" s="128"/>
      <c r="S33" s="122"/>
      <c r="T33" s="127"/>
      <c r="U33" s="127"/>
      <c r="W33" s="127"/>
      <c r="X33" s="122"/>
    </row>
    <row r="34" spans="1:24" ht="14.1" customHeight="1" x14ac:dyDescent="0.2">
      <c r="A34" s="120">
        <v>19</v>
      </c>
      <c r="B34" s="124"/>
      <c r="G34" s="126"/>
      <c r="O34" s="128"/>
      <c r="Q34" s="126"/>
      <c r="S34" s="122"/>
    </row>
    <row r="35" spans="1:24" ht="14.1" customHeight="1" x14ac:dyDescent="0.2">
      <c r="A35" s="120">
        <v>20</v>
      </c>
      <c r="B35" s="124"/>
      <c r="G35" s="126"/>
      <c r="O35" s="128"/>
      <c r="Q35" s="126"/>
      <c r="R35" s="126"/>
      <c r="S35" s="126"/>
      <c r="T35" s="132"/>
      <c r="U35" s="123"/>
      <c r="X35" s="126">
        <f>+SUM(X16:X33)</f>
        <v>0</v>
      </c>
    </row>
    <row r="36" spans="1:24" ht="14.1" customHeight="1" x14ac:dyDescent="0.2">
      <c r="A36" s="120">
        <v>21</v>
      </c>
      <c r="B36" s="124"/>
      <c r="G36" s="126"/>
      <c r="J36" s="126"/>
      <c r="L36" s="122"/>
      <c r="O36" s="128"/>
    </row>
    <row r="37" spans="1:24" ht="14.1" customHeight="1" x14ac:dyDescent="0.2">
      <c r="A37" s="120">
        <v>22</v>
      </c>
      <c r="B37" s="124"/>
      <c r="G37" s="126"/>
      <c r="O37" s="128"/>
    </row>
    <row r="38" spans="1:24" ht="14.1" customHeight="1" x14ac:dyDescent="0.2">
      <c r="A38" s="120">
        <v>23</v>
      </c>
      <c r="B38" s="124"/>
      <c r="C38" s="113" t="s">
        <v>866</v>
      </c>
      <c r="G38" s="170"/>
      <c r="I38" s="133">
        <f>L28</f>
        <v>71847925.46927467</v>
      </c>
      <c r="K38" s="124"/>
      <c r="O38" s="128"/>
    </row>
    <row r="39" spans="1:24" ht="14.1" customHeight="1" x14ac:dyDescent="0.35">
      <c r="A39" s="120">
        <v>24</v>
      </c>
      <c r="B39" s="124"/>
      <c r="I39" s="134"/>
      <c r="O39" s="128"/>
      <c r="P39" s="126"/>
      <c r="Q39" s="126"/>
      <c r="R39" s="126"/>
      <c r="S39" s="133"/>
      <c r="T39" s="126"/>
    </row>
    <row r="40" spans="1:24" ht="14.1" customHeight="1" x14ac:dyDescent="0.2">
      <c r="A40" s="120">
        <v>25</v>
      </c>
      <c r="B40" s="124"/>
      <c r="I40" s="133"/>
      <c r="J40" s="133"/>
      <c r="K40" s="133"/>
      <c r="O40" s="128"/>
    </row>
    <row r="41" spans="1:24" ht="14.1" customHeight="1" x14ac:dyDescent="0.2">
      <c r="A41" s="120">
        <v>26</v>
      </c>
      <c r="B41" s="124"/>
      <c r="O41" s="128"/>
    </row>
    <row r="42" spans="1:24" ht="14.1" customHeight="1" x14ac:dyDescent="0.2">
      <c r="A42" s="120">
        <v>27</v>
      </c>
      <c r="B42" s="124"/>
      <c r="C42" s="135"/>
      <c r="F42" s="136"/>
      <c r="G42" s="136"/>
      <c r="H42" s="136"/>
      <c r="I42" s="136"/>
      <c r="J42" s="136"/>
      <c r="L42" s="128"/>
      <c r="O42" s="128"/>
    </row>
    <row r="43" spans="1:24" ht="14.1" customHeight="1" x14ac:dyDescent="0.2">
      <c r="A43" s="120">
        <v>28</v>
      </c>
      <c r="B43" s="124"/>
      <c r="C43" s="135"/>
      <c r="F43" s="136"/>
      <c r="G43" s="136"/>
      <c r="H43" s="136"/>
      <c r="I43" s="136"/>
      <c r="J43" s="136"/>
      <c r="L43" s="128"/>
      <c r="O43" s="128"/>
    </row>
    <row r="44" spans="1:24" ht="14.1" customHeight="1" x14ac:dyDescent="0.2">
      <c r="A44" s="120">
        <v>29</v>
      </c>
      <c r="B44" s="137"/>
      <c r="F44" s="128"/>
      <c r="G44" s="128"/>
      <c r="H44" s="128"/>
      <c r="I44" s="128"/>
      <c r="J44" s="128"/>
      <c r="L44" s="128"/>
      <c r="O44" s="128"/>
    </row>
    <row r="45" spans="1:24" ht="14.1" customHeight="1" x14ac:dyDescent="0.2">
      <c r="A45" s="120">
        <v>30</v>
      </c>
      <c r="B45" s="124"/>
      <c r="G45" s="126"/>
      <c r="H45" s="126"/>
      <c r="I45" s="126"/>
      <c r="J45" s="126"/>
      <c r="L45" s="128"/>
      <c r="O45" s="128"/>
    </row>
    <row r="46" spans="1:24" ht="14.1" customHeight="1" x14ac:dyDescent="0.2">
      <c r="A46" s="120">
        <v>31</v>
      </c>
      <c r="B46" s="124"/>
      <c r="C46" s="113" t="s">
        <v>867</v>
      </c>
      <c r="F46" s="128"/>
      <c r="G46" s="128"/>
      <c r="H46" s="128"/>
      <c r="I46" s="128"/>
      <c r="J46" s="128"/>
      <c r="L46" s="126"/>
      <c r="M46" s="126"/>
      <c r="O46" s="128"/>
    </row>
    <row r="47" spans="1:24" ht="14.1" customHeight="1" x14ac:dyDescent="0.2">
      <c r="A47" s="120">
        <v>32</v>
      </c>
      <c r="B47" s="124"/>
      <c r="C47" s="113" t="s">
        <v>814</v>
      </c>
      <c r="F47" s="128"/>
      <c r="G47" s="128">
        <f>+G16</f>
        <v>1165080508.2696974</v>
      </c>
      <c r="H47" s="128"/>
      <c r="I47" s="128">
        <f>+I16</f>
        <v>1211893578.5813401</v>
      </c>
      <c r="J47" s="128"/>
      <c r="L47" s="128">
        <f>+L16</f>
        <v>46813070.311642647</v>
      </c>
      <c r="O47" s="128"/>
    </row>
    <row r="48" spans="1:24" ht="14.1" customHeight="1" x14ac:dyDescent="0.2">
      <c r="A48" s="120">
        <v>33</v>
      </c>
      <c r="B48" s="124"/>
      <c r="C48" s="113" t="s">
        <v>815</v>
      </c>
      <c r="F48" s="128"/>
      <c r="G48" s="138">
        <f>+G17+G18</f>
        <v>105096736.51060821</v>
      </c>
      <c r="H48" s="128"/>
      <c r="I48" s="138">
        <f>+I17+I18</f>
        <v>109319535.89267524</v>
      </c>
      <c r="J48" s="128"/>
      <c r="L48" s="138">
        <f>+L17+L18</f>
        <v>4222799.3820670173</v>
      </c>
      <c r="O48" s="128"/>
    </row>
    <row r="49" spans="1:18" ht="14.1" customHeight="1" x14ac:dyDescent="0.2">
      <c r="A49" s="120">
        <v>34</v>
      </c>
      <c r="B49" s="124"/>
      <c r="F49" s="128"/>
      <c r="G49" s="128">
        <f>SUM(G47:G48)</f>
        <v>1270177244.7803056</v>
      </c>
      <c r="H49" s="128"/>
      <c r="I49" s="128">
        <f>SUM(I47:I48)</f>
        <v>1321213114.4740152</v>
      </c>
      <c r="J49" s="128"/>
      <c r="L49" s="128">
        <f>SUM(L47:L48)</f>
        <v>51035869.693709664</v>
      </c>
      <c r="M49" s="125">
        <f>+L49/G49</f>
        <v>4.0180116517940775E-2</v>
      </c>
      <c r="O49" s="128"/>
    </row>
    <row r="50" spans="1:18" ht="14.1" customHeight="1" x14ac:dyDescent="0.2">
      <c r="A50" s="120">
        <v>35</v>
      </c>
      <c r="B50" s="124"/>
      <c r="G50" s="139"/>
      <c r="H50" s="126"/>
      <c r="I50" s="139"/>
      <c r="J50" s="126"/>
      <c r="L50" s="139"/>
      <c r="M50" s="125"/>
      <c r="O50" s="128"/>
    </row>
    <row r="51" spans="1:18" ht="14.1" customHeight="1" x14ac:dyDescent="0.2">
      <c r="A51" s="120">
        <v>36</v>
      </c>
      <c r="B51" s="124"/>
      <c r="C51" s="113" t="s">
        <v>816</v>
      </c>
      <c r="G51" s="126">
        <f>+G20+G19+G23</f>
        <v>435447377.24637169</v>
      </c>
      <c r="H51" s="126"/>
      <c r="I51" s="126">
        <f>+I20+I19+I23</f>
        <v>452943703.99998653</v>
      </c>
      <c r="J51" s="126"/>
      <c r="L51" s="126">
        <f>+L20+L19+L23</f>
        <v>17496326.753614817</v>
      </c>
      <c r="M51" s="125">
        <f>+L51/G51</f>
        <v>4.0180117432916752E-2</v>
      </c>
      <c r="O51" s="128"/>
    </row>
    <row r="52" spans="1:18" ht="14.1" customHeight="1" x14ac:dyDescent="0.2">
      <c r="A52" s="120">
        <v>37</v>
      </c>
      <c r="B52" s="124"/>
      <c r="G52" s="126"/>
      <c r="H52" s="126"/>
      <c r="I52" s="126"/>
      <c r="J52" s="126"/>
      <c r="L52" s="126"/>
      <c r="M52" s="125"/>
      <c r="O52" s="128"/>
    </row>
    <row r="53" spans="1:18" ht="14.1" customHeight="1" x14ac:dyDescent="0.2">
      <c r="A53" s="120">
        <v>38</v>
      </c>
      <c r="B53" s="124"/>
      <c r="C53" s="113" t="s">
        <v>817</v>
      </c>
      <c r="G53" s="126">
        <f>+G21+G24</f>
        <v>50742789.422447518</v>
      </c>
      <c r="I53" s="126">
        <f>+I21+I24</f>
        <v>52781641.044290155</v>
      </c>
      <c r="L53" s="126">
        <f>+L21+L24</f>
        <v>2038851.6218426356</v>
      </c>
      <c r="M53" s="125">
        <f>+L53/G53</f>
        <v>4.0180125000000323E-2</v>
      </c>
      <c r="O53" s="128"/>
    </row>
    <row r="54" spans="1:18" ht="14.1" customHeight="1" x14ac:dyDescent="0.35">
      <c r="A54" s="120">
        <v>39</v>
      </c>
      <c r="B54" s="124"/>
      <c r="C54" s="113" t="s">
        <v>818</v>
      </c>
      <c r="G54" s="140">
        <f>+G22+G25</f>
        <v>31778827.000000864</v>
      </c>
      <c r="I54" s="140">
        <f>+I22+I25</f>
        <v>33055704.400108412</v>
      </c>
      <c r="L54" s="140">
        <f>+L22+L25</f>
        <v>1276877.4001075458</v>
      </c>
      <c r="M54" s="125">
        <f>+L54/G54</f>
        <v>4.0180130000000036E-2</v>
      </c>
      <c r="O54" s="128"/>
    </row>
    <row r="55" spans="1:18" ht="14.1" customHeight="1" x14ac:dyDescent="0.2">
      <c r="A55" s="120">
        <v>40</v>
      </c>
      <c r="B55" s="124"/>
      <c r="G55" s="126">
        <f>SUM(G53:G54)</f>
        <v>82521616.422448382</v>
      </c>
      <c r="I55" s="126">
        <f>SUM(I53:I54)</f>
        <v>85837345.444398567</v>
      </c>
      <c r="L55" s="126">
        <f>SUM(L53:L54)</f>
        <v>3315729.0219501816</v>
      </c>
      <c r="M55" s="125"/>
      <c r="O55" s="128"/>
    </row>
    <row r="56" spans="1:18" ht="14.1" customHeight="1" x14ac:dyDescent="0.2">
      <c r="A56" s="120">
        <v>41</v>
      </c>
      <c r="B56" s="124"/>
      <c r="M56" s="141"/>
      <c r="O56" s="128"/>
    </row>
    <row r="57" spans="1:18" ht="14.1" customHeight="1" x14ac:dyDescent="0.2">
      <c r="A57" s="120">
        <v>42</v>
      </c>
      <c r="B57" s="124"/>
      <c r="C57" s="113" t="s">
        <v>868</v>
      </c>
      <c r="G57" s="126">
        <f>+G26</f>
        <v>3573046.9034759998</v>
      </c>
      <c r="I57" s="126">
        <f>+I26</f>
        <v>3573046.9034759998</v>
      </c>
      <c r="L57" s="126">
        <f>+L26</f>
        <v>0</v>
      </c>
      <c r="M57" s="142">
        <f>+L57/G57</f>
        <v>0</v>
      </c>
      <c r="O57" s="128"/>
    </row>
    <row r="58" spans="1:18" ht="14.1" customHeight="1" x14ac:dyDescent="0.2">
      <c r="A58" s="120">
        <v>43</v>
      </c>
      <c r="B58" s="124"/>
      <c r="C58" s="113" t="s">
        <v>869</v>
      </c>
      <c r="G58" s="126">
        <f>+G27</f>
        <v>82707820.715172112</v>
      </c>
      <c r="I58" s="126">
        <f>+I27</f>
        <v>82707820.715172112</v>
      </c>
      <c r="L58" s="126">
        <f>+L27</f>
        <v>0</v>
      </c>
      <c r="M58" s="142">
        <f>+L58/G58</f>
        <v>0</v>
      </c>
      <c r="O58" s="128"/>
    </row>
    <row r="59" spans="1:18" ht="14.1" customHeight="1" x14ac:dyDescent="0.2">
      <c r="A59" s="120">
        <v>44</v>
      </c>
      <c r="B59" s="124"/>
      <c r="L59" s="126"/>
      <c r="M59" s="141"/>
      <c r="O59" s="128"/>
    </row>
    <row r="60" spans="1:18" ht="14.1" customHeight="1" x14ac:dyDescent="0.2">
      <c r="A60" s="120">
        <v>45</v>
      </c>
      <c r="B60" s="124"/>
      <c r="C60" s="113" t="s">
        <v>717</v>
      </c>
      <c r="G60" s="126">
        <f>+G49+G54+G57+G58+G51+G53</f>
        <v>1874427106.0677738</v>
      </c>
      <c r="I60" s="122">
        <f>+I49+I54+I57+I58+I51+I53</f>
        <v>1946275031.5370483</v>
      </c>
      <c r="L60" s="126">
        <f>+L49+L55+L51+L57+L58</f>
        <v>71847925.469274655</v>
      </c>
      <c r="M60" s="125">
        <f>+L60/G60</f>
        <v>3.8330605248234624E-2</v>
      </c>
      <c r="O60" s="128"/>
    </row>
    <row r="61" spans="1:18" ht="14.1" customHeight="1" x14ac:dyDescent="0.2">
      <c r="A61" s="120">
        <v>46</v>
      </c>
      <c r="B61" s="124"/>
      <c r="O61" s="128"/>
      <c r="P61" s="128"/>
      <c r="Q61" s="128"/>
    </row>
    <row r="62" spans="1:18" ht="14.1" customHeight="1" thickBot="1" x14ac:dyDescent="0.25">
      <c r="A62" s="118">
        <v>47</v>
      </c>
      <c r="B62" s="114"/>
      <c r="C62" s="114" t="s">
        <v>1516</v>
      </c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21"/>
    </row>
    <row r="63" spans="1:18" ht="14.1" customHeight="1" x14ac:dyDescent="0.2">
      <c r="A63" s="113" t="s">
        <v>870</v>
      </c>
    </row>
    <row r="64" spans="1:18" ht="14.1" customHeight="1" x14ac:dyDescent="0.2">
      <c r="L64" s="137"/>
    </row>
    <row r="65" spans="8:14" ht="14.1" customHeight="1" x14ac:dyDescent="0.2">
      <c r="H65" s="126"/>
      <c r="L65" s="126"/>
      <c r="N65" s="126"/>
    </row>
    <row r="66" spans="8:14" ht="14.1" customHeight="1" x14ac:dyDescent="0.2">
      <c r="H66" s="126"/>
      <c r="L66" s="126"/>
      <c r="N66" s="126"/>
    </row>
    <row r="67" spans="8:14" ht="14.1" customHeight="1" x14ac:dyDescent="0.2">
      <c r="H67" s="126"/>
      <c r="L67" s="126"/>
      <c r="N67" s="126"/>
    </row>
    <row r="68" spans="8:14" ht="14.1" customHeight="1" x14ac:dyDescent="0.2">
      <c r="H68" s="126"/>
      <c r="L68" s="126"/>
      <c r="N68" s="126"/>
    </row>
    <row r="69" spans="8:14" ht="14.1" customHeight="1" x14ac:dyDescent="0.2">
      <c r="H69" s="126"/>
      <c r="L69" s="126"/>
      <c r="N69" s="126"/>
    </row>
  </sheetData>
  <mergeCells count="2">
    <mergeCell ref="H3:L3"/>
    <mergeCell ref="L13:M13"/>
  </mergeCells>
  <printOptions horizontalCentered="1" verticalCentered="1"/>
  <pageMargins left="0.5" right="0.5" top="1.25" bottom="0.35000000000000003" header="0.5" footer="0.25"/>
  <pageSetup scale="59" orientation="landscape" r:id="rId1"/>
  <headerFooter alignWithMargins="0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8C94F-0716-475D-81F9-C68994B49273}">
  <sheetPr>
    <pageSetUpPr fitToPage="1"/>
  </sheetPr>
  <dimension ref="A1:V55"/>
  <sheetViews>
    <sheetView topLeftCell="A38" workbookViewId="0">
      <selection activeCell="A14" sqref="A14:A54"/>
    </sheetView>
  </sheetViews>
  <sheetFormatPr defaultColWidth="9.140625" defaultRowHeight="11.25" x14ac:dyDescent="0.2"/>
  <cols>
    <col min="1" max="1" width="3.5703125" style="8" customWidth="1"/>
    <col min="2" max="2" width="6.85546875" style="8" bestFit="1" customWidth="1"/>
    <col min="3" max="3" width="9.5703125" style="8" customWidth="1"/>
    <col min="4" max="4" width="17.5703125" style="8" customWidth="1"/>
    <col min="5" max="5" width="12.5703125" style="8" customWidth="1"/>
    <col min="6" max="6" width="9" style="8" bestFit="1" customWidth="1"/>
    <col min="7" max="7" width="9.5703125" style="8" customWidth="1"/>
    <col min="8" max="8" width="16" style="8" bestFit="1" customWidth="1"/>
    <col min="9" max="9" width="19" style="8" bestFit="1" customWidth="1"/>
    <col min="10" max="10" width="5.5703125" style="8" customWidth="1"/>
    <col min="11" max="11" width="6.42578125" style="57" customWidth="1"/>
    <col min="12" max="12" width="13.5703125" style="8" customWidth="1"/>
    <col min="13" max="13" width="8.5703125" style="8" customWidth="1"/>
    <col min="14" max="14" width="10.140625" style="8" customWidth="1"/>
    <col min="15" max="15" width="11.140625" style="8" customWidth="1"/>
    <col min="16" max="16" width="17" style="8" customWidth="1"/>
    <col min="17" max="17" width="11.28515625" style="8" customWidth="1"/>
    <col min="18" max="18" width="16.140625" style="8" bestFit="1" customWidth="1"/>
    <col min="19" max="19" width="18.7109375" style="8" bestFit="1" customWidth="1"/>
    <col min="20" max="20" width="9.5703125" style="8" customWidth="1"/>
    <col min="21" max="21" width="15" style="8" bestFit="1" customWidth="1"/>
    <col min="22" max="22" width="14.5703125" style="8" bestFit="1" customWidth="1"/>
    <col min="23" max="23" width="18.28515625" style="8" bestFit="1" customWidth="1"/>
    <col min="24" max="24" width="18.28515625" style="8" customWidth="1"/>
    <col min="25" max="25" width="13.140625" style="8" bestFit="1" customWidth="1"/>
    <col min="26" max="27" width="9.140625" style="8"/>
    <col min="28" max="28" width="14.5703125" style="8" bestFit="1" customWidth="1"/>
    <col min="29" max="29" width="18.28515625" style="8" bestFit="1" customWidth="1"/>
    <col min="30" max="30" width="15" style="8" bestFit="1" customWidth="1"/>
    <col min="31" max="31" width="13.140625" style="8" bestFit="1" customWidth="1"/>
    <col min="32" max="16384" width="9.140625" style="8"/>
  </cols>
  <sheetData>
    <row r="1" spans="1:22" ht="15.75" customHeight="1" x14ac:dyDescent="0.2"/>
    <row r="2" spans="1:22" ht="14.1" customHeight="1" x14ac:dyDescent="0.2">
      <c r="H2" s="378"/>
      <c r="I2" s="378"/>
      <c r="J2" s="378"/>
      <c r="K2" s="378"/>
      <c r="L2" s="378"/>
    </row>
    <row r="3" spans="1:22" ht="14.1" customHeight="1" thickBot="1" x14ac:dyDescent="0.25">
      <c r="A3" s="9" t="s">
        <v>305</v>
      </c>
      <c r="B3" s="9"/>
      <c r="C3" s="9"/>
      <c r="D3" s="9"/>
      <c r="E3" s="9"/>
      <c r="F3" s="9"/>
      <c r="G3" s="9"/>
      <c r="H3" s="379" t="s">
        <v>306</v>
      </c>
      <c r="I3" s="379"/>
      <c r="J3" s="379"/>
      <c r="K3" s="379"/>
      <c r="L3" s="379"/>
      <c r="M3" s="9"/>
      <c r="N3" s="9"/>
      <c r="O3" s="9"/>
      <c r="P3" s="9"/>
      <c r="Q3" s="9"/>
      <c r="R3" s="9"/>
      <c r="S3" s="9" t="s">
        <v>872</v>
      </c>
    </row>
    <row r="4" spans="1:22" ht="14.1" customHeight="1" x14ac:dyDescent="0.2">
      <c r="A4" s="8" t="s">
        <v>307</v>
      </c>
      <c r="E4" s="8" t="s">
        <v>308</v>
      </c>
      <c r="G4" s="8" t="s">
        <v>910</v>
      </c>
      <c r="K4" s="98"/>
      <c r="L4" s="99"/>
      <c r="N4" s="99"/>
      <c r="O4" s="99"/>
      <c r="P4" s="99" t="s">
        <v>309</v>
      </c>
      <c r="S4" s="10"/>
    </row>
    <row r="5" spans="1:22" ht="14.1" customHeight="1" x14ac:dyDescent="0.2">
      <c r="G5" s="8" t="s">
        <v>911</v>
      </c>
      <c r="L5" s="10"/>
      <c r="O5" s="11"/>
      <c r="P5" s="11"/>
      <c r="Q5" s="117" t="s">
        <v>916</v>
      </c>
      <c r="R5" s="116" t="s">
        <v>1512</v>
      </c>
      <c r="V5" s="69"/>
    </row>
    <row r="6" spans="1:22" ht="14.1" customHeight="1" x14ac:dyDescent="0.2">
      <c r="A6" s="8" t="s">
        <v>310</v>
      </c>
      <c r="G6" s="8" t="s">
        <v>912</v>
      </c>
      <c r="L6" s="10"/>
      <c r="M6" s="11"/>
      <c r="P6" s="11"/>
      <c r="Q6" s="265"/>
      <c r="R6" s="116"/>
    </row>
    <row r="7" spans="1:22" ht="14.1" customHeight="1" x14ac:dyDescent="0.2">
      <c r="G7" s="8" t="s">
        <v>913</v>
      </c>
      <c r="L7" s="10"/>
      <c r="M7" s="11"/>
      <c r="P7" s="11"/>
      <c r="Q7" s="265"/>
      <c r="R7" s="116"/>
    </row>
    <row r="8" spans="1:22" ht="14.1" customHeight="1" thickBot="1" x14ac:dyDescent="0.25">
      <c r="C8" s="11"/>
      <c r="G8" s="8" t="s">
        <v>914</v>
      </c>
      <c r="H8" s="12"/>
      <c r="I8" s="12"/>
      <c r="J8" s="12"/>
      <c r="Q8" s="264"/>
      <c r="R8" s="114" t="s">
        <v>1519</v>
      </c>
    </row>
    <row r="9" spans="1:22" ht="14.1" customHeight="1" thickBot="1" x14ac:dyDescent="0.25">
      <c r="A9" s="9" t="s">
        <v>1292</v>
      </c>
      <c r="B9" s="9"/>
      <c r="C9" s="13"/>
      <c r="D9" s="14"/>
      <c r="E9" s="14"/>
      <c r="F9" s="14"/>
      <c r="G9" s="15" t="s">
        <v>915</v>
      </c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 spans="1:22" ht="14.1" customHeight="1" x14ac:dyDescent="0.2">
      <c r="B10" s="57"/>
      <c r="C10" s="57"/>
      <c r="D10" s="12"/>
      <c r="E10" s="12"/>
      <c r="F10" s="12"/>
      <c r="G10" s="10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22" ht="14.1" customHeight="1" x14ac:dyDescent="0.2">
      <c r="E11" s="12"/>
      <c r="G11" s="12"/>
      <c r="H11" s="16"/>
      <c r="I11" s="12"/>
      <c r="K11" s="12"/>
      <c r="M11" s="16"/>
    </row>
    <row r="12" spans="1:22" ht="14.1" customHeight="1" x14ac:dyDescent="0.2">
      <c r="F12" s="16"/>
      <c r="G12" s="16"/>
      <c r="H12" s="17"/>
      <c r="I12" s="17"/>
      <c r="J12" s="12"/>
      <c r="K12" s="18"/>
      <c r="L12" s="16"/>
      <c r="N12" s="16"/>
      <c r="O12" s="16"/>
      <c r="P12" s="16"/>
      <c r="Q12" s="16"/>
      <c r="R12" s="16"/>
    </row>
    <row r="13" spans="1:22" ht="14.1" customHeight="1" x14ac:dyDescent="0.2">
      <c r="E13" s="12"/>
      <c r="F13" s="16"/>
      <c r="G13" s="12"/>
      <c r="H13" s="16"/>
      <c r="I13" s="16"/>
      <c r="J13" s="16"/>
      <c r="K13" s="12"/>
      <c r="L13" s="16"/>
      <c r="M13" s="16"/>
      <c r="N13" s="16"/>
      <c r="O13" s="16"/>
      <c r="P13" s="16"/>
      <c r="Q13" s="16"/>
      <c r="R13" s="16"/>
      <c r="S13" s="16"/>
    </row>
    <row r="14" spans="1:22" ht="14.1" customHeight="1" x14ac:dyDescent="0.2">
      <c r="A14" s="57" t="s">
        <v>313</v>
      </c>
      <c r="B14" s="19"/>
      <c r="C14" s="20"/>
      <c r="D14" s="21"/>
      <c r="E14" s="21"/>
      <c r="F14" s="21"/>
      <c r="G14" s="24"/>
      <c r="H14" s="21"/>
      <c r="I14" s="21"/>
      <c r="J14" s="21"/>
      <c r="K14" s="24"/>
      <c r="L14" s="21"/>
      <c r="M14" s="24"/>
      <c r="N14" s="24"/>
      <c r="O14" s="21"/>
      <c r="P14" s="21"/>
      <c r="Q14" s="20"/>
      <c r="R14" s="36"/>
      <c r="S14" s="36"/>
    </row>
    <row r="15" spans="1:22" ht="14.1" customHeight="1" thickBot="1" x14ac:dyDescent="0.25">
      <c r="A15" s="58" t="s">
        <v>319</v>
      </c>
      <c r="B15" s="26"/>
      <c r="C15" s="27"/>
      <c r="D15" s="9"/>
      <c r="E15" s="58"/>
      <c r="F15" s="27"/>
      <c r="G15" s="27"/>
      <c r="H15" s="27"/>
      <c r="I15" s="28"/>
      <c r="J15" s="27"/>
      <c r="K15" s="28"/>
      <c r="L15" s="28"/>
      <c r="M15" s="27"/>
      <c r="N15" s="27"/>
      <c r="O15" s="27"/>
      <c r="P15" s="28"/>
      <c r="Q15" s="27"/>
      <c r="R15" s="28"/>
      <c r="S15" s="28"/>
    </row>
    <row r="16" spans="1:22" ht="14.1" customHeight="1" x14ac:dyDescent="0.2">
      <c r="A16" s="57">
        <v>1</v>
      </c>
      <c r="B16" s="30"/>
      <c r="C16" s="31"/>
      <c r="F16" s="32"/>
      <c r="G16" s="32"/>
      <c r="H16" s="32"/>
      <c r="I16" s="32"/>
      <c r="J16" s="33"/>
      <c r="K16" s="34"/>
      <c r="L16" s="33"/>
      <c r="M16" s="33"/>
      <c r="N16" s="33"/>
      <c r="O16" s="33"/>
      <c r="P16" s="33"/>
      <c r="Q16" s="33"/>
      <c r="R16" s="33"/>
      <c r="S16" s="33"/>
    </row>
    <row r="17" spans="1:19" ht="14.1" customHeight="1" x14ac:dyDescent="0.2">
      <c r="A17" s="57">
        <v>2</v>
      </c>
      <c r="B17" s="35"/>
      <c r="C17" s="35"/>
      <c r="D17" s="57"/>
      <c r="M17" s="35"/>
      <c r="N17" s="35"/>
      <c r="O17" s="35"/>
      <c r="P17" s="35"/>
      <c r="Q17" s="35"/>
      <c r="R17" s="35"/>
      <c r="S17" s="35"/>
    </row>
    <row r="18" spans="1:19" ht="14.1" customHeight="1" x14ac:dyDescent="0.2">
      <c r="A18" s="57">
        <v>3</v>
      </c>
      <c r="B18" s="65"/>
      <c r="C18" s="35"/>
      <c r="D18" s="57"/>
      <c r="E18" s="32"/>
      <c r="M18" s="32"/>
      <c r="N18" s="39"/>
      <c r="O18" s="32"/>
      <c r="P18" s="32"/>
      <c r="Q18" s="32"/>
      <c r="R18" s="32"/>
      <c r="S18" s="43"/>
    </row>
    <row r="19" spans="1:19" ht="14.1" customHeight="1" x14ac:dyDescent="0.2">
      <c r="A19" s="57">
        <v>4</v>
      </c>
      <c r="B19" s="65"/>
      <c r="C19" s="35"/>
      <c r="E19" s="32"/>
      <c r="F19" s="23" t="s">
        <v>714</v>
      </c>
      <c r="G19" s="35"/>
      <c r="H19" s="66" t="s">
        <v>715</v>
      </c>
      <c r="I19" s="32"/>
      <c r="J19" s="32"/>
      <c r="K19" s="32"/>
      <c r="L19" s="32"/>
      <c r="M19" s="32"/>
      <c r="N19" s="39"/>
      <c r="O19" s="32"/>
      <c r="P19" s="32"/>
      <c r="Q19" s="32"/>
      <c r="R19" s="32"/>
      <c r="S19" s="45"/>
    </row>
    <row r="20" spans="1:19" ht="14.1" customHeight="1" x14ac:dyDescent="0.2">
      <c r="A20" s="57">
        <v>5</v>
      </c>
      <c r="B20" s="65"/>
      <c r="E20" s="32"/>
      <c r="F20" s="57">
        <v>2</v>
      </c>
      <c r="G20" s="39"/>
      <c r="H20" s="32" t="str">
        <f>+'2027 RS Rate Class E-13c'!N13</f>
        <v>RS, RSVP-1</v>
      </c>
      <c r="I20" s="32"/>
      <c r="J20" s="32"/>
      <c r="K20" s="32"/>
      <c r="L20" s="32"/>
      <c r="M20" s="32"/>
      <c r="N20" s="39"/>
      <c r="O20" s="49"/>
      <c r="P20" s="32"/>
      <c r="Q20" s="32"/>
      <c r="R20" s="32"/>
      <c r="S20" s="45"/>
    </row>
    <row r="21" spans="1:19" ht="14.1" customHeight="1" x14ac:dyDescent="0.2">
      <c r="A21" s="57">
        <v>6</v>
      </c>
      <c r="B21" s="21"/>
      <c r="C21" s="35"/>
      <c r="E21" s="32"/>
      <c r="F21" s="57">
        <v>3</v>
      </c>
      <c r="G21" s="39"/>
      <c r="H21" s="32" t="str">
        <f>+'2027 GS Rate Class E-13c'!N13</f>
        <v>GS, GST</v>
      </c>
      <c r="I21" s="32"/>
      <c r="L21" s="32"/>
      <c r="M21" s="32"/>
      <c r="N21" s="32"/>
      <c r="O21" s="32"/>
      <c r="P21" s="32"/>
      <c r="Q21" s="32"/>
      <c r="R21" s="32"/>
      <c r="S21" s="43"/>
    </row>
    <row r="22" spans="1:19" ht="14.1" customHeight="1" x14ac:dyDescent="0.2">
      <c r="A22" s="57">
        <v>7</v>
      </c>
      <c r="B22" s="21"/>
      <c r="C22" s="35"/>
      <c r="E22" s="32"/>
      <c r="F22" s="57">
        <v>4</v>
      </c>
      <c r="G22" s="39"/>
      <c r="H22" s="32" t="str">
        <f>+'2027 GS Rate Class E-13c'!N67</f>
        <v>CS</v>
      </c>
      <c r="I22" s="32"/>
      <c r="L22" s="32"/>
      <c r="M22" s="32"/>
      <c r="N22" s="32"/>
      <c r="O22" s="32"/>
      <c r="P22" s="32"/>
      <c r="Q22" s="32"/>
      <c r="R22" s="32"/>
      <c r="S22" s="43"/>
    </row>
    <row r="23" spans="1:19" ht="14.1" customHeight="1" x14ac:dyDescent="0.2">
      <c r="A23" s="57">
        <v>8</v>
      </c>
      <c r="B23" s="65"/>
      <c r="C23" s="35"/>
      <c r="E23" s="32"/>
      <c r="F23" s="57">
        <v>5</v>
      </c>
      <c r="H23" s="32" t="str">
        <f>+'2027 GSD Rate Class E-13c'!O13</f>
        <v>GSD,GSDT</v>
      </c>
      <c r="M23" s="32"/>
      <c r="N23" s="39"/>
      <c r="O23" s="32"/>
      <c r="P23" s="32"/>
      <c r="Q23" s="32"/>
      <c r="R23" s="32"/>
      <c r="S23" s="45"/>
    </row>
    <row r="24" spans="1:19" ht="14.1" customHeight="1" x14ac:dyDescent="0.2">
      <c r="A24" s="57">
        <v>9</v>
      </c>
      <c r="B24" s="67"/>
      <c r="F24" s="57">
        <v>7</v>
      </c>
      <c r="G24" s="32"/>
      <c r="H24" s="32" t="str">
        <f>+'2027 GSD Rate Class E-13c'!O121</f>
        <v xml:space="preserve">GSD Optional </v>
      </c>
      <c r="I24" s="32"/>
      <c r="J24" s="32"/>
      <c r="K24" s="42"/>
      <c r="L24" s="32"/>
      <c r="M24" s="32"/>
      <c r="N24" s="39"/>
      <c r="O24" s="49"/>
      <c r="P24" s="32"/>
      <c r="Q24" s="49"/>
      <c r="S24" s="43"/>
    </row>
    <row r="25" spans="1:19" ht="14.1" customHeight="1" x14ac:dyDescent="0.2">
      <c r="A25" s="57">
        <v>10</v>
      </c>
      <c r="B25" s="65"/>
      <c r="C25" s="35"/>
      <c r="E25" s="32"/>
      <c r="F25" s="57">
        <v>8</v>
      </c>
      <c r="H25" s="32" t="str">
        <f>+'2027 GSD Rate Class E-13c'!O175</f>
        <v>SBD/SBDT</v>
      </c>
      <c r="I25" s="32"/>
      <c r="L25" s="32"/>
      <c r="M25" s="32"/>
      <c r="N25" s="68"/>
      <c r="O25" s="32"/>
      <c r="P25" s="32"/>
      <c r="Q25" s="32"/>
      <c r="R25" s="32"/>
      <c r="S25" s="45"/>
    </row>
    <row r="26" spans="1:19" ht="14.1" customHeight="1" x14ac:dyDescent="0.2">
      <c r="A26" s="57">
        <v>11</v>
      </c>
      <c r="F26" s="57">
        <v>12</v>
      </c>
      <c r="G26" s="48"/>
      <c r="H26" s="32" t="str">
        <f>+'2027 GSLDPR Rate Class E-13c'!N13</f>
        <v>GSLDPR, GSDLTPR</v>
      </c>
      <c r="I26" s="32"/>
      <c r="J26" s="32"/>
      <c r="K26" s="42"/>
      <c r="L26" s="32"/>
      <c r="O26" s="49"/>
      <c r="Q26" s="49"/>
    </row>
    <row r="27" spans="1:19" ht="14.1" customHeight="1" x14ac:dyDescent="0.2">
      <c r="A27" s="57">
        <v>12</v>
      </c>
      <c r="F27" s="57">
        <v>13</v>
      </c>
      <c r="H27" s="32" t="str">
        <f>+'2027 GSLDPR Rate Class E-13c'!N67</f>
        <v>SBLDPR,SBLDTPR</v>
      </c>
      <c r="O27" s="68"/>
      <c r="Q27" s="49"/>
    </row>
    <row r="28" spans="1:19" ht="14.1" customHeight="1" x14ac:dyDescent="0.2">
      <c r="A28" s="57">
        <v>13</v>
      </c>
      <c r="F28" s="57">
        <v>15</v>
      </c>
      <c r="H28" s="32" t="str">
        <f>+'2027 GSLDSU Rate Class E-13c'!N13</f>
        <v>GSLDSU, GSDLTSU</v>
      </c>
      <c r="O28" s="49"/>
      <c r="Q28" s="49"/>
    </row>
    <row r="29" spans="1:19" ht="14.1" customHeight="1" x14ac:dyDescent="0.2">
      <c r="A29" s="57">
        <v>14</v>
      </c>
      <c r="F29" s="57">
        <v>16</v>
      </c>
      <c r="H29" s="32" t="str">
        <f>+'2027 GSLDSU Rate Class E-13c'!N67</f>
        <v>SBLDSU,SBLDTSU</v>
      </c>
      <c r="O29" s="49"/>
      <c r="Q29" s="49"/>
    </row>
    <row r="30" spans="1:19" ht="14.1" customHeight="1" x14ac:dyDescent="0.2">
      <c r="A30" s="57">
        <v>15</v>
      </c>
      <c r="F30" s="57">
        <v>18</v>
      </c>
      <c r="H30" s="32" t="str">
        <f>+'2027 LS Rate Class E-13c'!N13</f>
        <v>LS-1,LS-2</v>
      </c>
      <c r="O30" s="49"/>
      <c r="Q30" s="49"/>
    </row>
    <row r="31" spans="1:19" ht="14.1" customHeight="1" x14ac:dyDescent="0.2">
      <c r="A31" s="57">
        <v>16</v>
      </c>
      <c r="F31" s="57"/>
      <c r="O31" s="49"/>
      <c r="Q31" s="49"/>
    </row>
    <row r="32" spans="1:19" ht="14.1" customHeight="1" x14ac:dyDescent="0.2">
      <c r="A32" s="57">
        <v>17</v>
      </c>
      <c r="B32" s="31"/>
      <c r="C32" s="31"/>
      <c r="F32" s="57"/>
      <c r="M32" s="32"/>
      <c r="N32" s="32"/>
      <c r="O32" s="32"/>
      <c r="P32" s="32"/>
      <c r="Q32" s="32"/>
      <c r="R32" s="32"/>
      <c r="S32" s="43"/>
    </row>
    <row r="33" spans="1:19" ht="14.1" customHeight="1" x14ac:dyDescent="0.2">
      <c r="A33" s="57">
        <v>18</v>
      </c>
      <c r="B33" s="31"/>
      <c r="C33" s="31"/>
      <c r="F33" s="57"/>
      <c r="M33" s="32"/>
      <c r="N33" s="32"/>
      <c r="O33" s="32"/>
      <c r="P33" s="32"/>
      <c r="Q33" s="32"/>
      <c r="R33" s="32"/>
      <c r="S33" s="43"/>
    </row>
    <row r="34" spans="1:19" ht="14.1" customHeight="1" x14ac:dyDescent="0.2">
      <c r="A34" s="57">
        <v>19</v>
      </c>
      <c r="B34" s="31"/>
      <c r="C34" s="31"/>
      <c r="F34" s="57"/>
      <c r="H34" s="32"/>
      <c r="M34" s="32"/>
      <c r="N34" s="32"/>
      <c r="O34" s="32"/>
      <c r="P34" s="32"/>
      <c r="Q34" s="32"/>
      <c r="R34" s="32"/>
      <c r="S34" s="43"/>
    </row>
    <row r="35" spans="1:19" ht="14.1" customHeight="1" x14ac:dyDescent="0.2">
      <c r="A35" s="57">
        <v>20</v>
      </c>
      <c r="B35" s="31"/>
      <c r="C35" s="31"/>
      <c r="F35" s="57"/>
      <c r="H35" s="32"/>
      <c r="M35" s="32"/>
      <c r="N35" s="32"/>
      <c r="O35" s="32"/>
      <c r="P35" s="32"/>
      <c r="Q35" s="32"/>
      <c r="R35" s="32"/>
      <c r="S35" s="43"/>
    </row>
    <row r="36" spans="1:19" ht="14.1" customHeight="1" x14ac:dyDescent="0.2">
      <c r="A36" s="57">
        <v>21</v>
      </c>
      <c r="B36" s="31"/>
      <c r="C36" s="31"/>
      <c r="F36" s="57"/>
      <c r="M36" s="32"/>
      <c r="N36" s="32"/>
      <c r="O36" s="32"/>
      <c r="P36" s="32"/>
      <c r="Q36" s="32"/>
      <c r="R36" s="32"/>
      <c r="S36" s="43"/>
    </row>
    <row r="37" spans="1:19" ht="14.1" customHeight="1" x14ac:dyDescent="0.2">
      <c r="A37" s="57">
        <v>22</v>
      </c>
      <c r="B37" s="31"/>
      <c r="C37" s="31"/>
      <c r="F37" s="57"/>
      <c r="H37" s="32"/>
      <c r="M37" s="32"/>
      <c r="N37" s="32"/>
      <c r="O37" s="32"/>
      <c r="P37" s="32"/>
      <c r="Q37" s="32"/>
      <c r="R37" s="32"/>
      <c r="S37" s="43"/>
    </row>
    <row r="38" spans="1:19" ht="14.1" customHeight="1" x14ac:dyDescent="0.2">
      <c r="A38" s="57">
        <v>23</v>
      </c>
      <c r="B38" s="30"/>
      <c r="C38" s="31"/>
      <c r="F38" s="57"/>
      <c r="G38" s="32"/>
      <c r="J38" s="32"/>
      <c r="K38" s="42"/>
      <c r="L38" s="32"/>
      <c r="M38" s="32"/>
      <c r="N38" s="32"/>
      <c r="O38" s="32"/>
      <c r="P38" s="32"/>
      <c r="Q38" s="32"/>
      <c r="R38" s="32"/>
      <c r="S38" s="32"/>
    </row>
    <row r="39" spans="1:19" ht="14.1" customHeight="1" x14ac:dyDescent="0.2">
      <c r="A39" s="57">
        <v>24</v>
      </c>
      <c r="B39" s="30"/>
      <c r="C39" s="31"/>
      <c r="F39" s="57"/>
      <c r="M39" s="32"/>
      <c r="N39" s="32"/>
      <c r="O39" s="32"/>
      <c r="P39" s="32"/>
      <c r="Q39" s="32"/>
      <c r="R39" s="32"/>
      <c r="S39" s="32"/>
    </row>
    <row r="40" spans="1:19" ht="14.1" customHeight="1" x14ac:dyDescent="0.2">
      <c r="A40" s="57">
        <v>25</v>
      </c>
      <c r="B40" s="30"/>
      <c r="C40" s="31"/>
      <c r="F40" s="57"/>
      <c r="G40" s="32"/>
      <c r="I40" s="32"/>
      <c r="J40" s="33"/>
      <c r="K40" s="42"/>
      <c r="L40" s="33"/>
      <c r="M40" s="32"/>
      <c r="N40" s="32"/>
      <c r="O40" s="32"/>
      <c r="P40" s="32"/>
      <c r="Q40" s="32"/>
      <c r="R40" s="32"/>
      <c r="S40" s="32"/>
    </row>
    <row r="41" spans="1:19" ht="14.1" customHeight="1" x14ac:dyDescent="0.2">
      <c r="A41" s="57">
        <v>26</v>
      </c>
      <c r="B41" s="30"/>
      <c r="C41" s="31"/>
      <c r="F41" s="32"/>
      <c r="G41" s="32"/>
      <c r="H41" s="32"/>
      <c r="I41" s="32"/>
      <c r="J41" s="33"/>
      <c r="K41" s="42"/>
      <c r="L41" s="33"/>
      <c r="M41" s="32"/>
      <c r="N41" s="32"/>
      <c r="O41" s="32"/>
      <c r="P41" s="32"/>
      <c r="Q41" s="32"/>
      <c r="R41" s="32"/>
      <c r="S41" s="32"/>
    </row>
    <row r="42" spans="1:19" ht="14.1" customHeight="1" x14ac:dyDescent="0.2">
      <c r="A42" s="57">
        <v>27</v>
      </c>
      <c r="B42" s="30"/>
      <c r="C42" s="31"/>
      <c r="F42" s="32"/>
      <c r="G42" s="32"/>
      <c r="H42" s="32"/>
      <c r="I42" s="32"/>
      <c r="J42" s="33"/>
      <c r="K42" s="42"/>
      <c r="L42" s="33"/>
      <c r="M42" s="32"/>
      <c r="N42" s="32"/>
      <c r="O42" s="32"/>
      <c r="P42" s="32"/>
      <c r="Q42" s="32"/>
      <c r="R42" s="32"/>
      <c r="S42" s="32"/>
    </row>
    <row r="43" spans="1:19" ht="14.1" customHeight="1" x14ac:dyDescent="0.2">
      <c r="A43" s="57">
        <v>28</v>
      </c>
      <c r="B43" s="30"/>
      <c r="C43" s="31"/>
      <c r="F43" s="32"/>
      <c r="G43" s="32"/>
      <c r="H43" s="32"/>
      <c r="I43" s="32"/>
      <c r="J43" s="33"/>
      <c r="K43" s="42"/>
      <c r="L43" s="33"/>
      <c r="M43" s="32"/>
      <c r="N43" s="32"/>
      <c r="O43" s="32"/>
      <c r="P43" s="32"/>
      <c r="Q43" s="32"/>
      <c r="R43" s="32"/>
      <c r="S43" s="32"/>
    </row>
    <row r="44" spans="1:19" ht="14.1" customHeight="1" x14ac:dyDescent="0.2">
      <c r="A44" s="57">
        <v>29</v>
      </c>
      <c r="B44" s="30"/>
      <c r="C44" s="31"/>
      <c r="F44" s="32"/>
      <c r="G44" s="32"/>
      <c r="H44" s="32"/>
      <c r="I44" s="32"/>
      <c r="J44" s="33"/>
      <c r="K44" s="42"/>
      <c r="L44" s="33"/>
      <c r="M44" s="32"/>
      <c r="N44" s="32"/>
      <c r="O44" s="32"/>
      <c r="P44" s="32"/>
      <c r="Q44" s="32"/>
      <c r="R44" s="32"/>
      <c r="S44" s="32"/>
    </row>
    <row r="45" spans="1:19" ht="14.1" customHeight="1" x14ac:dyDescent="0.2">
      <c r="A45" s="57">
        <v>30</v>
      </c>
      <c r="B45" s="30"/>
      <c r="C45" s="31"/>
      <c r="F45" s="32"/>
      <c r="G45" s="32"/>
      <c r="H45" s="32"/>
      <c r="I45" s="32"/>
      <c r="J45" s="33"/>
      <c r="K45" s="42"/>
      <c r="L45" s="33"/>
      <c r="M45" s="32"/>
      <c r="N45" s="32"/>
      <c r="O45" s="32"/>
      <c r="P45" s="32"/>
      <c r="Q45" s="32"/>
      <c r="R45" s="32"/>
      <c r="S45" s="32"/>
    </row>
    <row r="46" spans="1:19" ht="14.1" customHeight="1" x14ac:dyDescent="0.2">
      <c r="A46" s="57">
        <v>31</v>
      </c>
      <c r="B46" s="30"/>
      <c r="C46" s="31"/>
      <c r="F46" s="32"/>
      <c r="G46" s="32"/>
      <c r="H46" s="32"/>
      <c r="I46" s="32"/>
      <c r="J46" s="33"/>
      <c r="K46" s="42"/>
      <c r="L46" s="33"/>
      <c r="M46" s="32"/>
      <c r="N46" s="32"/>
      <c r="O46" s="32"/>
      <c r="P46" s="32"/>
      <c r="Q46" s="32"/>
      <c r="R46" s="32"/>
      <c r="S46" s="32"/>
    </row>
    <row r="47" spans="1:19" ht="14.1" customHeight="1" x14ac:dyDescent="0.2">
      <c r="A47" s="57">
        <v>32</v>
      </c>
      <c r="B47" s="50"/>
      <c r="C47" s="31"/>
      <c r="F47" s="32"/>
      <c r="G47" s="32"/>
      <c r="H47" s="32"/>
      <c r="I47" s="32"/>
      <c r="J47" s="33"/>
      <c r="K47" s="42"/>
      <c r="L47" s="33"/>
      <c r="M47" s="32"/>
      <c r="N47" s="32"/>
      <c r="O47" s="32"/>
      <c r="P47" s="32"/>
      <c r="Q47" s="32"/>
      <c r="R47" s="32"/>
      <c r="S47" s="32"/>
    </row>
    <row r="48" spans="1:19" ht="14.1" customHeight="1" x14ac:dyDescent="0.2">
      <c r="A48" s="57">
        <v>33</v>
      </c>
      <c r="B48" s="50"/>
      <c r="C48" s="31"/>
      <c r="F48" s="32"/>
      <c r="G48" s="32"/>
      <c r="H48" s="32"/>
      <c r="I48" s="32"/>
      <c r="J48" s="33"/>
      <c r="K48" s="42"/>
      <c r="L48" s="33"/>
      <c r="M48" s="32"/>
      <c r="N48" s="32"/>
      <c r="O48" s="32"/>
      <c r="P48" s="32"/>
      <c r="Q48" s="32"/>
      <c r="R48" s="32"/>
      <c r="S48" s="32"/>
    </row>
    <row r="49" spans="1:19" ht="14.1" customHeight="1" x14ac:dyDescent="0.2">
      <c r="A49" s="57">
        <v>34</v>
      </c>
      <c r="B49" s="50"/>
      <c r="C49" s="31"/>
      <c r="F49" s="32"/>
      <c r="G49" s="32"/>
      <c r="H49" s="32"/>
      <c r="I49" s="32"/>
      <c r="J49" s="33"/>
      <c r="K49" s="42"/>
      <c r="L49" s="33"/>
      <c r="M49" s="32"/>
      <c r="N49" s="32"/>
      <c r="O49" s="32"/>
      <c r="P49" s="32"/>
      <c r="Q49" s="32"/>
      <c r="R49" s="32"/>
      <c r="S49" s="32"/>
    </row>
    <row r="50" spans="1:19" ht="14.1" customHeight="1" x14ac:dyDescent="0.2">
      <c r="A50" s="57">
        <v>35</v>
      </c>
      <c r="B50" s="30"/>
      <c r="C50" s="31"/>
      <c r="F50" s="32"/>
      <c r="G50" s="32"/>
      <c r="H50" s="32"/>
      <c r="I50" s="32"/>
      <c r="J50" s="33"/>
      <c r="K50" s="42"/>
      <c r="L50" s="33"/>
      <c r="M50" s="32"/>
      <c r="N50" s="32"/>
      <c r="O50" s="32"/>
      <c r="P50" s="32"/>
      <c r="Q50" s="32"/>
      <c r="R50" s="32"/>
      <c r="S50" s="32"/>
    </row>
    <row r="51" spans="1:19" ht="14.1" customHeight="1" x14ac:dyDescent="0.2">
      <c r="A51" s="57">
        <v>36</v>
      </c>
      <c r="B51" s="30"/>
      <c r="C51" s="31"/>
      <c r="F51" s="32"/>
      <c r="G51" s="32"/>
      <c r="H51" s="32"/>
      <c r="I51" s="32"/>
      <c r="J51" s="33"/>
      <c r="K51" s="42"/>
      <c r="L51" s="33"/>
      <c r="M51" s="32"/>
      <c r="N51" s="32"/>
      <c r="O51" s="32"/>
      <c r="P51" s="32"/>
      <c r="Q51" s="32"/>
      <c r="R51" s="32"/>
      <c r="S51" s="32"/>
    </row>
    <row r="52" spans="1:19" ht="14.1" customHeight="1" x14ac:dyDescent="0.2">
      <c r="A52" s="57">
        <v>37</v>
      </c>
      <c r="B52" s="30"/>
      <c r="C52" s="31"/>
      <c r="F52" s="32"/>
      <c r="G52" s="32"/>
      <c r="H52" s="32"/>
      <c r="I52" s="32"/>
      <c r="J52" s="33"/>
      <c r="K52" s="42"/>
      <c r="L52" s="33"/>
      <c r="M52" s="32"/>
      <c r="N52" s="32"/>
      <c r="O52" s="32"/>
      <c r="P52" s="32"/>
      <c r="Q52" s="32"/>
      <c r="R52" s="32"/>
      <c r="S52" s="32"/>
    </row>
    <row r="53" spans="1:19" ht="14.1" customHeight="1" x14ac:dyDescent="0.2">
      <c r="A53" s="57">
        <v>38</v>
      </c>
      <c r="B53" s="30"/>
      <c r="C53" s="31"/>
      <c r="F53" s="32"/>
      <c r="G53" s="32"/>
      <c r="H53" s="32"/>
      <c r="I53" s="32"/>
      <c r="J53" s="33"/>
      <c r="K53" s="42"/>
      <c r="L53" s="33"/>
      <c r="M53" s="32"/>
      <c r="N53" s="32"/>
      <c r="O53" s="32"/>
      <c r="P53" s="32"/>
      <c r="Q53" s="32"/>
      <c r="R53" s="32"/>
      <c r="S53" s="32"/>
    </row>
    <row r="54" spans="1:19" ht="14.1" customHeight="1" thickBot="1" x14ac:dyDescent="0.25">
      <c r="A54" s="58">
        <v>39</v>
      </c>
      <c r="B54" s="9"/>
      <c r="C54" s="9"/>
      <c r="D54" s="9"/>
      <c r="E54" s="9"/>
      <c r="F54" s="9"/>
      <c r="G54" s="9"/>
      <c r="H54" s="9"/>
      <c r="I54" s="9"/>
      <c r="J54" s="9"/>
      <c r="K54" s="58"/>
      <c r="L54" s="9"/>
      <c r="M54" s="9"/>
      <c r="N54" s="9"/>
      <c r="O54" s="9"/>
      <c r="P54" s="9"/>
      <c r="Q54" s="9"/>
      <c r="R54" s="9"/>
      <c r="S54" s="9"/>
    </row>
    <row r="55" spans="1:19" ht="14.1" customHeight="1" x14ac:dyDescent="0.2">
      <c r="S55" s="8" t="s">
        <v>304</v>
      </c>
    </row>
  </sheetData>
  <mergeCells count="2">
    <mergeCell ref="H2:L2"/>
    <mergeCell ref="H3:L3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B70C7-5735-4575-9C6A-D9FCC5846B19}">
  <sheetPr>
    <pageSetUpPr fitToPage="1"/>
  </sheetPr>
  <dimension ref="A2:V56"/>
  <sheetViews>
    <sheetView topLeftCell="C1" zoomScale="110" zoomScaleNormal="110" workbookViewId="0">
      <selection activeCell="D15" sqref="D15:D55"/>
    </sheetView>
  </sheetViews>
  <sheetFormatPr defaultRowHeight="15" x14ac:dyDescent="0.25"/>
  <cols>
    <col min="1" max="1" width="32.5703125" bestFit="1" customWidth="1"/>
    <col min="2" max="2" width="21.140625" bestFit="1" customWidth="1"/>
    <col min="8" max="8" width="21.85546875" bestFit="1" customWidth="1"/>
    <col min="10" max="10" width="10.28515625" bestFit="1" customWidth="1"/>
    <col min="12" max="12" width="19" bestFit="1" customWidth="1"/>
    <col min="15" max="15" width="13.28515625" customWidth="1"/>
    <col min="17" max="17" width="10.28515625" bestFit="1" customWidth="1"/>
    <col min="19" max="19" width="24" bestFit="1" customWidth="1"/>
    <col min="21" max="21" width="10.7109375" bestFit="1" customWidth="1"/>
    <col min="22" max="22" width="18.7109375" bestFit="1" customWidth="1"/>
  </cols>
  <sheetData>
    <row r="2" spans="1:22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57"/>
      <c r="O2" s="8"/>
      <c r="P2" s="8"/>
      <c r="Q2" s="8"/>
      <c r="R2" s="8"/>
      <c r="S2" s="8"/>
      <c r="T2" s="8"/>
      <c r="U2" s="8"/>
      <c r="V2" s="8"/>
    </row>
    <row r="3" spans="1:22" x14ac:dyDescent="0.25">
      <c r="D3" s="8"/>
      <c r="E3" s="8"/>
      <c r="F3" s="8"/>
      <c r="G3" s="8"/>
      <c r="H3" s="8"/>
      <c r="I3" s="8"/>
      <c r="J3" s="8"/>
      <c r="K3" s="378"/>
      <c r="L3" s="378"/>
      <c r="M3" s="378"/>
      <c r="N3" s="378"/>
      <c r="O3" s="378"/>
      <c r="P3" s="8"/>
      <c r="Q3" s="8"/>
      <c r="R3" s="8"/>
      <c r="S3" s="8"/>
      <c r="T3" s="8"/>
      <c r="U3" s="8"/>
      <c r="V3" s="8"/>
    </row>
    <row r="4" spans="1:22" ht="15.75" thickBot="1" x14ac:dyDescent="0.3">
      <c r="D4" s="9" t="s">
        <v>305</v>
      </c>
      <c r="E4" s="9"/>
      <c r="F4" s="9"/>
      <c r="G4" s="9"/>
      <c r="H4" s="9"/>
      <c r="I4" s="9"/>
      <c r="J4" s="9"/>
      <c r="K4" s="379" t="s">
        <v>306</v>
      </c>
      <c r="L4" s="379"/>
      <c r="M4" s="379"/>
      <c r="N4" s="379"/>
      <c r="O4" s="379"/>
      <c r="P4" s="9"/>
      <c r="Q4" s="9"/>
      <c r="R4" s="9"/>
      <c r="S4" s="9"/>
      <c r="T4" s="9"/>
      <c r="U4" s="9"/>
      <c r="V4" s="13" t="s">
        <v>873</v>
      </c>
    </row>
    <row r="5" spans="1:22" x14ac:dyDescent="0.25">
      <c r="A5" s="60" t="s">
        <v>711</v>
      </c>
      <c r="B5" s="61">
        <f>+'Operating Revenue Requirement'!F4</f>
        <v>1211893579.3581808</v>
      </c>
      <c r="D5" s="8" t="s">
        <v>307</v>
      </c>
      <c r="E5" s="8"/>
      <c r="F5" s="8"/>
      <c r="G5" s="8"/>
      <c r="H5" s="8" t="s">
        <v>308</v>
      </c>
      <c r="I5" s="8" t="s">
        <v>910</v>
      </c>
      <c r="J5" s="8"/>
      <c r="K5" s="8"/>
      <c r="L5" s="8"/>
      <c r="M5" s="8"/>
      <c r="N5" s="98"/>
      <c r="O5" s="99"/>
      <c r="P5" s="8"/>
      <c r="Q5" s="8"/>
      <c r="R5" s="99"/>
      <c r="S5" s="99" t="s">
        <v>309</v>
      </c>
      <c r="T5" s="8"/>
      <c r="U5" s="8"/>
      <c r="V5" s="10"/>
    </row>
    <row r="6" spans="1:22" x14ac:dyDescent="0.25">
      <c r="D6" s="8"/>
      <c r="E6" s="8"/>
      <c r="F6" s="8"/>
      <c r="G6" s="8"/>
      <c r="H6" s="8"/>
      <c r="I6" s="8" t="s">
        <v>911</v>
      </c>
      <c r="J6" s="8"/>
      <c r="K6" s="8"/>
      <c r="L6" s="8"/>
      <c r="M6" s="8"/>
      <c r="N6" s="57"/>
      <c r="O6" s="10"/>
      <c r="P6" s="8"/>
      <c r="Q6" s="8"/>
      <c r="R6" s="11"/>
      <c r="S6" s="117" t="s">
        <v>916</v>
      </c>
      <c r="T6" s="116" t="s">
        <v>1512</v>
      </c>
      <c r="U6" s="8"/>
      <c r="V6" s="11"/>
    </row>
    <row r="7" spans="1:22" x14ac:dyDescent="0.25">
      <c r="A7" s="62" t="s">
        <v>713</v>
      </c>
      <c r="B7" s="64">
        <v>4.1180098999999998E-2</v>
      </c>
      <c r="D7" s="8" t="s">
        <v>310</v>
      </c>
      <c r="E7" s="8"/>
      <c r="F7" s="8"/>
      <c r="G7" s="8"/>
      <c r="H7" s="8"/>
      <c r="I7" s="8" t="s">
        <v>912</v>
      </c>
      <c r="J7" s="8"/>
      <c r="K7" s="8"/>
      <c r="L7" s="8"/>
      <c r="M7" s="8"/>
      <c r="N7" s="57"/>
      <c r="O7" s="10"/>
      <c r="P7" s="11"/>
      <c r="Q7" s="8"/>
      <c r="R7" s="8"/>
      <c r="S7" s="265"/>
      <c r="T7" s="116"/>
      <c r="U7" s="8"/>
      <c r="V7" s="11"/>
    </row>
    <row r="8" spans="1:22" x14ac:dyDescent="0.25">
      <c r="A8" s="62" t="s">
        <v>712</v>
      </c>
      <c r="B8" s="63">
        <f>+S39</f>
        <v>1211893578.5813401</v>
      </c>
      <c r="D8" s="8"/>
      <c r="E8" s="8"/>
      <c r="F8" s="8"/>
      <c r="G8" s="8"/>
      <c r="H8" s="8"/>
      <c r="I8" s="8" t="s">
        <v>913</v>
      </c>
      <c r="J8" s="8"/>
      <c r="K8" s="8"/>
      <c r="L8" s="8"/>
      <c r="M8" s="8"/>
      <c r="N8" s="57"/>
      <c r="O8" s="10"/>
      <c r="P8" s="11"/>
      <c r="Q8" s="8"/>
      <c r="R8" s="8"/>
      <c r="S8" s="265"/>
      <c r="T8" s="116"/>
      <c r="U8" s="8"/>
      <c r="V8" s="11"/>
    </row>
    <row r="9" spans="1:22" x14ac:dyDescent="0.25">
      <c r="D9" s="8"/>
      <c r="E9" s="8"/>
      <c r="F9" s="11"/>
      <c r="G9" s="8"/>
      <c r="H9" s="8"/>
      <c r="I9" s="8" t="s">
        <v>914</v>
      </c>
      <c r="J9" s="8"/>
      <c r="K9" s="12"/>
      <c r="L9" s="12"/>
      <c r="M9" s="12"/>
      <c r="N9" s="57"/>
      <c r="O9" s="8"/>
      <c r="P9" s="8"/>
      <c r="Q9" s="8"/>
      <c r="R9" s="8"/>
      <c r="S9" s="265"/>
      <c r="U9" s="8"/>
      <c r="V9" s="8"/>
    </row>
    <row r="10" spans="1:22" ht="15.75" thickBot="1" x14ac:dyDescent="0.3">
      <c r="D10" s="9" t="s">
        <v>1292</v>
      </c>
      <c r="E10" s="9"/>
      <c r="F10" s="13"/>
      <c r="G10" s="14"/>
      <c r="H10" s="14"/>
      <c r="I10" s="15" t="s">
        <v>915</v>
      </c>
      <c r="J10" s="15"/>
      <c r="K10" s="14"/>
      <c r="L10" s="14"/>
      <c r="M10" s="14"/>
      <c r="N10" s="14"/>
      <c r="O10" s="14"/>
      <c r="P10" s="14"/>
      <c r="Q10" s="15"/>
      <c r="R10" s="14"/>
      <c r="S10" s="14"/>
      <c r="T10" s="114" t="s">
        <v>1519</v>
      </c>
      <c r="U10" s="14"/>
      <c r="V10" s="14"/>
    </row>
    <row r="11" spans="1:22" x14ac:dyDescent="0.2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12"/>
      <c r="R11" s="8"/>
      <c r="S11" s="8"/>
      <c r="T11" s="8"/>
      <c r="U11" s="8"/>
      <c r="V11" s="8"/>
    </row>
    <row r="12" spans="1:22" x14ac:dyDescent="0.25">
      <c r="D12" s="8"/>
      <c r="E12" s="8"/>
      <c r="F12" s="8"/>
      <c r="G12" s="8"/>
      <c r="H12" s="12"/>
      <c r="I12" s="8"/>
      <c r="J12" s="12"/>
      <c r="K12" s="16"/>
      <c r="L12" s="12"/>
      <c r="M12" s="8"/>
      <c r="N12" s="12"/>
      <c r="O12" s="8"/>
      <c r="P12" s="16"/>
      <c r="Q12" s="12"/>
      <c r="R12" s="8"/>
      <c r="S12" s="8"/>
      <c r="T12" s="8"/>
      <c r="U12" s="8"/>
      <c r="V12" s="8"/>
    </row>
    <row r="13" spans="1:22" x14ac:dyDescent="0.25">
      <c r="D13" s="8"/>
      <c r="E13" s="8"/>
      <c r="F13" s="8"/>
      <c r="G13" s="8"/>
      <c r="H13" s="8"/>
      <c r="I13" s="16"/>
      <c r="J13" s="16"/>
      <c r="K13" s="17"/>
      <c r="L13" s="17" t="s">
        <v>311</v>
      </c>
      <c r="M13" s="12"/>
      <c r="N13" s="18" t="s">
        <v>312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25">
      <c r="D14" s="8"/>
      <c r="E14" s="8"/>
      <c r="F14" s="8"/>
      <c r="G14" s="8"/>
      <c r="H14" s="12"/>
      <c r="I14" s="16"/>
      <c r="J14" s="12"/>
      <c r="K14" s="16"/>
      <c r="L14" s="16"/>
      <c r="M14" s="16"/>
      <c r="N14" s="12"/>
      <c r="O14" s="16"/>
      <c r="P14" s="16"/>
      <c r="Q14" s="12"/>
      <c r="R14" s="16"/>
      <c r="S14" s="16"/>
      <c r="T14" s="16"/>
      <c r="U14" s="16"/>
      <c r="V14" s="16"/>
    </row>
    <row r="15" spans="1:22" x14ac:dyDescent="0.25">
      <c r="D15" s="57" t="s">
        <v>313</v>
      </c>
      <c r="E15" s="19" t="s">
        <v>314</v>
      </c>
      <c r="F15" s="20"/>
      <c r="G15" s="21"/>
      <c r="H15" s="22"/>
      <c r="I15" s="22"/>
      <c r="J15" s="23" t="s">
        <v>315</v>
      </c>
      <c r="K15" s="22"/>
      <c r="L15" s="22"/>
      <c r="M15" s="20"/>
      <c r="N15" s="24"/>
      <c r="O15" s="22"/>
      <c r="P15" s="23"/>
      <c r="Q15" s="23" t="s">
        <v>316</v>
      </c>
      <c r="R15" s="22"/>
      <c r="S15" s="22"/>
      <c r="T15" s="20"/>
      <c r="U15" s="25" t="s">
        <v>317</v>
      </c>
      <c r="V15" s="25" t="s">
        <v>318</v>
      </c>
    </row>
    <row r="16" spans="1:22" ht="15.75" thickBot="1" x14ac:dyDescent="0.3">
      <c r="A16" s="85" t="s">
        <v>551</v>
      </c>
      <c r="B16" s="85" t="s">
        <v>552</v>
      </c>
      <c r="D16" s="58" t="s">
        <v>319</v>
      </c>
      <c r="E16" s="192" t="s">
        <v>320</v>
      </c>
      <c r="F16" s="27"/>
      <c r="G16" s="9"/>
      <c r="H16" s="58" t="s">
        <v>321</v>
      </c>
      <c r="I16" s="27"/>
      <c r="J16" s="27" t="s">
        <v>322</v>
      </c>
      <c r="K16" s="27"/>
      <c r="L16" s="28" t="s">
        <v>323</v>
      </c>
      <c r="M16" s="27"/>
      <c r="N16" s="28"/>
      <c r="O16" s="28" t="s">
        <v>321</v>
      </c>
      <c r="P16" s="27"/>
      <c r="Q16" s="27" t="s">
        <v>322</v>
      </c>
      <c r="R16" s="27"/>
      <c r="S16" s="28" t="s">
        <v>323</v>
      </c>
      <c r="T16" s="27"/>
      <c r="U16" s="29" t="s">
        <v>324</v>
      </c>
      <c r="V16" s="29" t="s">
        <v>325</v>
      </c>
    </row>
    <row r="17" spans="1:22" x14ac:dyDescent="0.25">
      <c r="D17" s="57">
        <v>1</v>
      </c>
      <c r="E17" s="30"/>
      <c r="F17" s="31"/>
      <c r="G17" s="8"/>
      <c r="H17" s="8"/>
      <c r="I17" s="32"/>
      <c r="J17" s="32"/>
      <c r="K17" s="32"/>
      <c r="L17" s="32"/>
      <c r="M17" s="33"/>
      <c r="N17" s="34"/>
      <c r="O17" s="33"/>
      <c r="P17" s="33"/>
      <c r="Q17" s="32"/>
      <c r="R17" s="33"/>
      <c r="S17" s="33"/>
      <c r="T17" s="33"/>
      <c r="U17" s="33"/>
      <c r="V17" s="33"/>
    </row>
    <row r="18" spans="1:22" x14ac:dyDescent="0.25">
      <c r="D18" s="57">
        <v>2</v>
      </c>
      <c r="E18" s="31" t="s">
        <v>326</v>
      </c>
      <c r="F18" s="31"/>
      <c r="G18" s="8"/>
      <c r="H18" s="8"/>
      <c r="I18" s="35"/>
      <c r="J18" s="35"/>
      <c r="K18" s="35"/>
      <c r="L18" s="35"/>
      <c r="M18" s="31"/>
      <c r="N18" s="36"/>
      <c r="O18" s="37"/>
      <c r="P18" s="35"/>
      <c r="Q18" s="35"/>
      <c r="R18" s="35"/>
      <c r="S18" s="35"/>
      <c r="T18" s="35"/>
      <c r="U18" s="35"/>
      <c r="V18" s="35"/>
    </row>
    <row r="19" spans="1:22" x14ac:dyDescent="0.25">
      <c r="A19" s="59" t="s">
        <v>0</v>
      </c>
      <c r="B19" s="59" t="s">
        <v>534</v>
      </c>
      <c r="D19" s="57">
        <v>3</v>
      </c>
      <c r="E19" s="38" t="s">
        <v>327</v>
      </c>
      <c r="F19" s="31"/>
      <c r="G19" s="8"/>
      <c r="H19" s="33">
        <f>+INDEX('2025 Billing Determinants'!B:B,MATCH('2027 RS Rate Class E-13c'!A19,'2025 Billing Determinants'!A:A,0))</f>
        <v>279108556</v>
      </c>
      <c r="I19" s="32" t="s">
        <v>328</v>
      </c>
      <c r="J19" s="39">
        <f>+INDEX('2026 Base Rates'!E:E,MATCH('2027 RS Rate Class E-13c'!B19,'2026 Base Rates'!D:D,0))</f>
        <v>1.1351081432400001</v>
      </c>
      <c r="K19" s="32"/>
      <c r="L19" s="32">
        <f>+H19*J19</f>
        <v>316818394.76355761</v>
      </c>
      <c r="M19" s="33"/>
      <c r="N19" s="34"/>
      <c r="O19" s="33">
        <f>+INDEX('2025 Billing Determinants'!B:B,MATCH('2027 RS Rate Class E-13c'!A19,'2025 Billing Determinants'!A:A,0))</f>
        <v>279108556</v>
      </c>
      <c r="P19" s="32" t="s">
        <v>328</v>
      </c>
      <c r="Q19" s="39">
        <f>+J19*(1+$B$7)</f>
        <v>1.1818520089543294</v>
      </c>
      <c r="R19" s="40"/>
      <c r="S19" s="32">
        <f>+O19*Q19</f>
        <v>329865007.62494195</v>
      </c>
      <c r="T19" s="32"/>
      <c r="U19" s="32">
        <f>+S19-L19</f>
        <v>13046612.861384332</v>
      </c>
      <c r="V19" s="41">
        <f>+IF(U19=0,0,(S19-L19)/L19)</f>
        <v>4.1180098999999838E-2</v>
      </c>
    </row>
    <row r="20" spans="1:22" x14ac:dyDescent="0.25">
      <c r="A20" s="59" t="s">
        <v>1</v>
      </c>
      <c r="B20" s="59" t="s">
        <v>535</v>
      </c>
      <c r="D20" s="57">
        <v>4</v>
      </c>
      <c r="E20" s="193" t="s">
        <v>329</v>
      </c>
      <c r="F20" s="8"/>
      <c r="G20" s="8"/>
      <c r="H20" s="100">
        <f>+INDEX('2025 Billing Determinants'!B:B,MATCH('2027 RS Rate Class E-13c'!A20,'2025 Billing Determinants'!A:A,0))</f>
        <v>1616968</v>
      </c>
      <c r="I20" s="32" t="s">
        <v>328</v>
      </c>
      <c r="J20" s="39">
        <f>+INDEX('2026 Base Rates'!E:E,MATCH('2027 RS Rate Class E-13c'!B20,'2026 Base Rates'!D:D,0))</f>
        <v>1.1351081432400001</v>
      </c>
      <c r="K20" s="8"/>
      <c r="L20" s="32">
        <f>+H20*J20</f>
        <v>1835433.5441584964</v>
      </c>
      <c r="M20" s="8"/>
      <c r="N20" s="57"/>
      <c r="O20" s="100">
        <f>+INDEX('2025 Billing Determinants'!B:B,MATCH('2027 RS Rate Class E-13c'!A20,'2025 Billing Determinants'!A:A,0))</f>
        <v>1616968</v>
      </c>
      <c r="P20" s="32" t="s">
        <v>328</v>
      </c>
      <c r="Q20" s="39">
        <f>+J20*(1+$B$7)</f>
        <v>1.1818520089543294</v>
      </c>
      <c r="R20" s="40"/>
      <c r="S20" s="32">
        <f>+O20*Q20</f>
        <v>1911016.879214864</v>
      </c>
      <c r="T20" s="8"/>
      <c r="U20" s="32">
        <f>+S20-L20</f>
        <v>75583.335056367563</v>
      </c>
      <c r="V20" s="41">
        <f t="shared" ref="V20:V21" si="0">+IF(U20=0,0,(S20-L20)/L20)</f>
        <v>4.1180098999999894E-2</v>
      </c>
    </row>
    <row r="21" spans="1:22" x14ac:dyDescent="0.25">
      <c r="A21" s="59"/>
      <c r="B21" s="59"/>
      <c r="D21" s="57">
        <v>5</v>
      </c>
      <c r="E21" s="20" t="s">
        <v>330</v>
      </c>
      <c r="F21" s="31"/>
      <c r="G21" s="8"/>
      <c r="H21" s="33">
        <f>+SUM(H19:H20)</f>
        <v>280725524</v>
      </c>
      <c r="I21" s="32" t="s">
        <v>331</v>
      </c>
      <c r="J21" s="32"/>
      <c r="K21" s="32"/>
      <c r="L21" s="101">
        <f>+SUM(L19:L20)</f>
        <v>318653828.30771613</v>
      </c>
      <c r="M21" s="32"/>
      <c r="N21" s="42"/>
      <c r="O21" s="33">
        <f>+SUM(O19:O20)</f>
        <v>280725524</v>
      </c>
      <c r="P21" s="32" t="s">
        <v>331</v>
      </c>
      <c r="Q21" s="32"/>
      <c r="R21" s="32"/>
      <c r="S21" s="101">
        <f>+SUM(S19:S20)</f>
        <v>331776024.50415683</v>
      </c>
      <c r="T21" s="32"/>
      <c r="U21" s="32">
        <f>+S21-L21</f>
        <v>13122196.196440697</v>
      </c>
      <c r="V21" s="41">
        <f t="shared" si="0"/>
        <v>4.1180098999999824E-2</v>
      </c>
    </row>
    <row r="22" spans="1:22" x14ac:dyDescent="0.25">
      <c r="A22" s="59"/>
      <c r="B22" s="59"/>
      <c r="D22" s="57">
        <v>6</v>
      </c>
      <c r="E22" s="8"/>
      <c r="F22" s="8"/>
      <c r="G22" s="8"/>
      <c r="H22" s="8"/>
      <c r="I22" s="8"/>
      <c r="J22" s="8"/>
      <c r="K22" s="8"/>
      <c r="L22" s="8"/>
      <c r="M22" s="8"/>
      <c r="N22" s="57"/>
      <c r="O22" s="8"/>
      <c r="P22" s="8"/>
      <c r="Q22" s="8"/>
      <c r="R22" s="8"/>
      <c r="S22" s="8"/>
      <c r="T22" s="8"/>
      <c r="U22" s="8"/>
      <c r="V22" s="8"/>
    </row>
    <row r="23" spans="1:22" x14ac:dyDescent="0.25">
      <c r="A23" s="59"/>
      <c r="B23" s="59"/>
      <c r="D23" s="57">
        <v>7</v>
      </c>
      <c r="E23" s="8"/>
      <c r="F23" s="8"/>
      <c r="G23" s="8"/>
      <c r="H23" s="8"/>
      <c r="I23" s="8"/>
      <c r="J23" s="8"/>
      <c r="K23" s="8"/>
      <c r="L23" s="8"/>
      <c r="M23" s="8"/>
      <c r="N23" s="57"/>
      <c r="O23" s="8"/>
      <c r="P23" s="8"/>
      <c r="Q23" s="8"/>
      <c r="R23" s="8"/>
      <c r="S23" s="8"/>
      <c r="T23" s="8"/>
      <c r="U23" s="8"/>
      <c r="V23" s="8"/>
    </row>
    <row r="24" spans="1:22" x14ac:dyDescent="0.25">
      <c r="A24" s="59"/>
      <c r="B24" s="59"/>
      <c r="D24" s="57">
        <v>8</v>
      </c>
      <c r="E24" s="8"/>
      <c r="F24" s="8"/>
      <c r="G24" s="8"/>
      <c r="H24" s="8"/>
      <c r="I24" s="8"/>
      <c r="J24" s="8"/>
      <c r="K24" s="8"/>
      <c r="L24" s="8"/>
      <c r="M24" s="8"/>
      <c r="N24" s="57"/>
      <c r="O24" s="8"/>
      <c r="P24" s="8"/>
      <c r="Q24" s="8"/>
      <c r="R24" s="8"/>
      <c r="S24" s="8"/>
      <c r="T24" s="8"/>
      <c r="U24" s="8"/>
      <c r="V24" s="8"/>
    </row>
    <row r="25" spans="1:22" x14ac:dyDescent="0.25">
      <c r="A25" s="59"/>
      <c r="B25" s="59"/>
      <c r="D25" s="57">
        <v>9</v>
      </c>
      <c r="E25" s="31" t="s">
        <v>332</v>
      </c>
      <c r="F25" s="31"/>
      <c r="G25" s="8"/>
      <c r="H25" s="33"/>
      <c r="I25" s="32"/>
      <c r="J25" s="32"/>
      <c r="K25" s="32"/>
      <c r="L25" s="32"/>
      <c r="M25" s="32"/>
      <c r="N25" s="42"/>
      <c r="O25" s="33"/>
      <c r="P25" s="32"/>
      <c r="Q25" s="32"/>
      <c r="R25" s="32"/>
      <c r="S25" s="32"/>
      <c r="T25" s="32"/>
      <c r="U25" s="32"/>
      <c r="V25" s="43"/>
    </row>
    <row r="26" spans="1:22" x14ac:dyDescent="0.25">
      <c r="A26" s="59"/>
      <c r="B26" s="59"/>
      <c r="D26" s="57">
        <v>10</v>
      </c>
      <c r="E26" s="38" t="s">
        <v>327</v>
      </c>
      <c r="F26" s="31"/>
      <c r="G26" s="8"/>
      <c r="H26" s="33"/>
      <c r="I26" s="32"/>
      <c r="J26" s="39"/>
      <c r="K26" s="32"/>
      <c r="L26" s="32"/>
      <c r="M26" s="32"/>
      <c r="N26" s="42"/>
      <c r="O26" s="44"/>
      <c r="P26" s="32"/>
      <c r="Q26" s="39"/>
      <c r="R26" s="32"/>
      <c r="S26" s="32"/>
      <c r="T26" s="32"/>
      <c r="U26" s="32"/>
      <c r="V26" s="45"/>
    </row>
    <row r="27" spans="1:22" x14ac:dyDescent="0.25">
      <c r="A27" s="59" t="s">
        <v>3</v>
      </c>
      <c r="B27" s="59" t="s">
        <v>483</v>
      </c>
      <c r="D27" s="57">
        <v>11</v>
      </c>
      <c r="E27" s="46" t="s">
        <v>333</v>
      </c>
      <c r="F27" s="8"/>
      <c r="G27" s="8"/>
      <c r="H27" s="33">
        <f>+INDEX('2025 Billing Determinants'!B:B,MATCH('2027 RS Rate Class E-13c'!A27,'2025 Billing Determinants'!A:A,0))</f>
        <v>7076568254.1000004</v>
      </c>
      <c r="I27" s="32" t="s">
        <v>710</v>
      </c>
      <c r="J27" s="48">
        <f>+INDEX('2026 Base Rates'!E:E,MATCH('2027 RS Rate Class E-13c'!B27,'2026 Base Rates'!D:D,0))</f>
        <v>7.9473423983683136E-2</v>
      </c>
      <c r="K27" s="8"/>
      <c r="L27" s="32">
        <f>+H27*J27</f>
        <v>562399109.20756161</v>
      </c>
      <c r="M27" s="8"/>
      <c r="N27" s="57"/>
      <c r="O27" s="33">
        <f>+INDEX('2025 Billing Determinants'!B:B,MATCH('2027 RS Rate Class E-13c'!A27,'2025 Billing Determinants'!A:A,0))</f>
        <v>7076568254.1000004</v>
      </c>
      <c r="P27" s="32" t="s">
        <v>710</v>
      </c>
      <c r="Q27" s="48">
        <f t="shared" ref="Q27:Q29" si="1">+J27*(1+$B$7)</f>
        <v>8.274614745120018E-2</v>
      </c>
      <c r="R27" s="8"/>
      <c r="S27" s="32">
        <f>+O27*Q27</f>
        <v>585558760.20224082</v>
      </c>
      <c r="T27" s="8"/>
      <c r="U27" s="32">
        <f t="shared" ref="U27:U30" si="2">+S27-L27</f>
        <v>23159650.994679213</v>
      </c>
      <c r="V27" s="41">
        <f t="shared" ref="V27:V30" si="3">+IF(U27=0,0,(S27-L27)/L27)</f>
        <v>4.1180099000000026E-2</v>
      </c>
    </row>
    <row r="28" spans="1:22" x14ac:dyDescent="0.25">
      <c r="A28" s="59" t="s">
        <v>4</v>
      </c>
      <c r="B28" s="59" t="s">
        <v>484</v>
      </c>
      <c r="D28" s="57">
        <v>12</v>
      </c>
      <c r="E28" s="46" t="s">
        <v>334</v>
      </c>
      <c r="F28" s="8"/>
      <c r="G28" s="8"/>
      <c r="H28" s="33">
        <f>+INDEX('2025 Billing Determinants'!B:B,MATCH('2027 RS Rate Class E-13c'!A28,'2025 Billing Determinants'!A:A,0))</f>
        <v>3133088980.2800002</v>
      </c>
      <c r="I28" s="32" t="s">
        <v>710</v>
      </c>
      <c r="J28" s="48">
        <f>+INDEX('2026 Base Rates'!E:E,MATCH('2027 RS Rate Class E-13c'!B28,'2026 Base Rates'!D:D,0))</f>
        <v>8.9473423983683131E-2</v>
      </c>
      <c r="K28" s="8"/>
      <c r="L28" s="32">
        <f>+H28*J28</f>
        <v>280328198.71119791</v>
      </c>
      <c r="M28" s="8"/>
      <c r="N28" s="57"/>
      <c r="O28" s="33">
        <f>+INDEX('2025 Billing Determinants'!B:B,MATCH('2027 RS Rate Class E-13c'!A28,'2025 Billing Determinants'!A:A,0))</f>
        <v>3133088980.2800002</v>
      </c>
      <c r="P28" s="32" t="s">
        <v>710</v>
      </c>
      <c r="Q28" s="48">
        <f>+Q27+0.01</f>
        <v>9.2746147451200175E-2</v>
      </c>
      <c r="R28" s="8"/>
      <c r="S28" s="32">
        <f t="shared" ref="S28:S29" si="4">+O28*Q28</f>
        <v>290581932.54277933</v>
      </c>
      <c r="T28" s="8"/>
      <c r="U28" s="32">
        <f t="shared" si="2"/>
        <v>10253733.831581414</v>
      </c>
      <c r="V28" s="41">
        <f t="shared" si="3"/>
        <v>3.6577603961081E-2</v>
      </c>
    </row>
    <row r="29" spans="1:22" x14ac:dyDescent="0.25">
      <c r="A29" s="59" t="s">
        <v>5</v>
      </c>
      <c r="B29" s="59" t="s">
        <v>550</v>
      </c>
      <c r="D29" s="57">
        <v>13</v>
      </c>
      <c r="E29" s="193" t="s">
        <v>329</v>
      </c>
      <c r="F29" s="8"/>
      <c r="G29" s="8"/>
      <c r="H29" s="33">
        <f>+INDEX('2025 Billing Determinants'!B:B,MATCH('2027 RS Rate Class E-13c'!A29,'2025 Billing Determinants'!A:A,0))</f>
        <v>80411220</v>
      </c>
      <c r="I29" s="32" t="s">
        <v>710</v>
      </c>
      <c r="J29" s="48">
        <f>+INDEX('2026 Base Rates'!E:E,MATCH('2027 RS Rate Class E-13c'!B29,'2026 Base Rates'!D:D,0))</f>
        <v>8.3799646462193414E-2</v>
      </c>
      <c r="K29" s="8"/>
      <c r="L29" s="32">
        <f>+H29*J29</f>
        <v>6738431.8075936567</v>
      </c>
      <c r="M29" s="8"/>
      <c r="N29" s="57"/>
      <c r="O29" s="33">
        <f>+INDEX('2025 Billing Determinants'!B:B,MATCH('2027 RS Rate Class E-13c'!A29,'2025 Billing Determinants'!A:A,0))</f>
        <v>80411220</v>
      </c>
      <c r="P29" s="32" t="s">
        <v>710</v>
      </c>
      <c r="Q29" s="48">
        <f t="shared" si="1"/>
        <v>8.7250524199671539E-2</v>
      </c>
      <c r="R29" s="8"/>
      <c r="S29" s="32">
        <f t="shared" si="4"/>
        <v>7015921.0965351118</v>
      </c>
      <c r="T29" s="32"/>
      <c r="U29" s="32">
        <f t="shared" si="2"/>
        <v>277489.28894145507</v>
      </c>
      <c r="V29" s="41">
        <f t="shared" si="3"/>
        <v>4.1180098999999901E-2</v>
      </c>
    </row>
    <row r="30" spans="1:22" x14ac:dyDescent="0.25">
      <c r="A30" s="59" t="s">
        <v>300</v>
      </c>
      <c r="B30" s="59" t="s">
        <v>1259</v>
      </c>
      <c r="D30" s="57">
        <v>14</v>
      </c>
      <c r="E30" s="193" t="s">
        <v>1260</v>
      </c>
      <c r="H30" s="33">
        <f>+INDEX('2025 Billing Determinants'!B:B,MATCH('2027 RS Rate Class E-13c'!A30,'2025 Billing Determinants'!A:A,0))</f>
        <v>7490717.6144992188</v>
      </c>
      <c r="I30" s="32" t="s">
        <v>710</v>
      </c>
      <c r="J30" s="48">
        <v>6.3E-2</v>
      </c>
      <c r="L30" s="32">
        <f>+H30*J30</f>
        <v>471915.20971345081</v>
      </c>
      <c r="O30" s="33">
        <f>+INDEX('2025 Billing Determinants'!B:B,MATCH('2027 RS Rate Class E-13c'!A30,'2025 Billing Determinants'!A:A,0))</f>
        <v>7490717.6144992188</v>
      </c>
      <c r="P30" s="32" t="s">
        <v>710</v>
      </c>
      <c r="Q30" s="48">
        <f>+J30</f>
        <v>6.3E-2</v>
      </c>
      <c r="S30" s="32">
        <f>+Q30*O30</f>
        <v>471915.20971345081</v>
      </c>
      <c r="U30" s="32">
        <f t="shared" si="2"/>
        <v>0</v>
      </c>
      <c r="V30" s="41">
        <f t="shared" si="3"/>
        <v>0</v>
      </c>
    </row>
    <row r="31" spans="1:22" x14ac:dyDescent="0.25">
      <c r="A31" s="59"/>
      <c r="B31" s="59"/>
      <c r="D31" s="57">
        <v>15</v>
      </c>
      <c r="E31" s="20" t="s">
        <v>335</v>
      </c>
      <c r="F31" s="31"/>
      <c r="G31" s="8"/>
      <c r="H31" s="102">
        <f>+SUM(H27:H29)</f>
        <v>10290068454.380001</v>
      </c>
      <c r="I31" s="32" t="s">
        <v>710</v>
      </c>
      <c r="J31" s="48"/>
      <c r="K31" s="32"/>
      <c r="L31" s="101">
        <f>+SUM(L27:L30)</f>
        <v>849937654.93606675</v>
      </c>
      <c r="M31" s="32"/>
      <c r="N31" s="42"/>
      <c r="O31" s="102">
        <f>+SUM(O27:O29)</f>
        <v>10290068454.380001</v>
      </c>
      <c r="P31" s="32" t="s">
        <v>710</v>
      </c>
      <c r="Q31" s="48"/>
      <c r="R31" s="32"/>
      <c r="S31" s="101">
        <f>+SUM(S27:S30)</f>
        <v>883628529.0512687</v>
      </c>
      <c r="T31" s="32"/>
      <c r="U31" s="32">
        <f>+S31-L31</f>
        <v>33690874.11520195</v>
      </c>
      <c r="V31" s="41">
        <f>+IF(U31=0,0,(S31-L31)/L31)</f>
        <v>3.9639229912382473E-2</v>
      </c>
    </row>
    <row r="32" spans="1:22" x14ac:dyDescent="0.25">
      <c r="A32" s="59"/>
      <c r="B32" s="59"/>
      <c r="D32" s="57">
        <v>16</v>
      </c>
      <c r="E32" s="8"/>
      <c r="F32" s="8"/>
      <c r="G32" s="8"/>
      <c r="H32" s="8"/>
      <c r="I32" s="8"/>
      <c r="J32" s="8"/>
      <c r="K32" s="8"/>
      <c r="L32" s="49"/>
      <c r="M32" s="8"/>
      <c r="N32" s="57"/>
      <c r="O32" s="8"/>
      <c r="P32" s="8"/>
      <c r="Q32" s="8"/>
      <c r="R32" s="8"/>
      <c r="S32" s="8"/>
      <c r="T32" s="8"/>
      <c r="U32" s="8"/>
      <c r="V32" s="43"/>
    </row>
    <row r="33" spans="1:22" x14ac:dyDescent="0.25">
      <c r="A33" s="59"/>
      <c r="B33" s="59"/>
      <c r="D33" s="57">
        <v>17</v>
      </c>
      <c r="E33" s="193" t="s">
        <v>1293</v>
      </c>
      <c r="H33" s="49">
        <f>+'Senior Care Program Estimate'!B2*12</f>
        <v>365388</v>
      </c>
      <c r="I33" s="32" t="s">
        <v>1294</v>
      </c>
      <c r="J33" s="39">
        <v>-10</v>
      </c>
      <c r="L33" s="49">
        <f>+J33*H33</f>
        <v>-3653880</v>
      </c>
      <c r="O33" s="49">
        <f>+'Senior Care Program Estimate'!B2*12</f>
        <v>365388</v>
      </c>
      <c r="P33" s="32" t="s">
        <v>1294</v>
      </c>
      <c r="Q33" s="39">
        <v>-10</v>
      </c>
      <c r="S33" s="49">
        <f>+Q33*O33</f>
        <v>-3653880</v>
      </c>
      <c r="U33" s="32">
        <f t="shared" ref="U33:U34" si="5">+S33-L33</f>
        <v>0</v>
      </c>
      <c r="V33" s="41">
        <f t="shared" ref="V33:V34" si="6">+IF(U33=0,0,(S33-L33)/L33)</f>
        <v>0</v>
      </c>
    </row>
    <row r="34" spans="1:22" x14ac:dyDescent="0.25">
      <c r="A34" s="59"/>
      <c r="B34" s="59"/>
      <c r="D34" s="57">
        <v>18</v>
      </c>
      <c r="E34" s="20" t="s">
        <v>335</v>
      </c>
      <c r="H34" s="102"/>
      <c r="L34" s="101">
        <f>+L33</f>
        <v>-3653880</v>
      </c>
      <c r="O34" s="102"/>
      <c r="S34" s="101">
        <f>+S33</f>
        <v>-3653880</v>
      </c>
      <c r="U34" s="32">
        <f t="shared" si="5"/>
        <v>0</v>
      </c>
      <c r="V34" s="41">
        <f t="shared" si="6"/>
        <v>0</v>
      </c>
    </row>
    <row r="35" spans="1:22" x14ac:dyDescent="0.25">
      <c r="A35" s="59"/>
      <c r="B35" s="59"/>
      <c r="D35" s="57">
        <v>19</v>
      </c>
    </row>
    <row r="36" spans="1:22" x14ac:dyDescent="0.25">
      <c r="A36" s="59"/>
      <c r="B36" s="59"/>
      <c r="D36" s="57">
        <v>20</v>
      </c>
      <c r="E36" s="8" t="s">
        <v>1275</v>
      </c>
      <c r="F36" s="8"/>
      <c r="G36" s="8"/>
      <c r="H36" s="49">
        <f>AVERAGE('AMI Opt Out'!I2:I13)*365</f>
        <v>213291.08345445737</v>
      </c>
      <c r="I36" s="8" t="s">
        <v>328</v>
      </c>
      <c r="J36" s="39">
        <v>0.67</v>
      </c>
      <c r="K36" s="8"/>
      <c r="L36" s="49">
        <f>+J36*H36</f>
        <v>142905.02591448644</v>
      </c>
      <c r="M36" s="8"/>
      <c r="N36" s="57"/>
      <c r="O36" s="49">
        <f>+H36</f>
        <v>213291.08345445737</v>
      </c>
      <c r="P36" s="8" t="s">
        <v>328</v>
      </c>
      <c r="Q36" s="39">
        <v>0.67</v>
      </c>
      <c r="R36" s="8"/>
      <c r="S36" s="49">
        <f>+Q36*O36</f>
        <v>142905.02591448644</v>
      </c>
      <c r="T36" s="32"/>
      <c r="U36" s="32">
        <f t="shared" ref="U36:U37" si="7">+S36-L36</f>
        <v>0</v>
      </c>
      <c r="V36" s="41">
        <f t="shared" ref="V36:V37" si="8">+IF(U36=0,0,(S36-L36)/L36)</f>
        <v>0</v>
      </c>
    </row>
    <row r="37" spans="1:22" x14ac:dyDescent="0.25">
      <c r="A37" s="59"/>
      <c r="B37" s="59"/>
      <c r="D37" s="57">
        <v>21</v>
      </c>
      <c r="E37" s="20" t="s">
        <v>335</v>
      </c>
      <c r="H37" s="102">
        <f>+H36</f>
        <v>213291.08345445737</v>
      </c>
      <c r="I37" s="76" t="s">
        <v>331</v>
      </c>
      <c r="J37" s="48"/>
      <c r="K37" s="32"/>
      <c r="L37" s="101">
        <f>+L36</f>
        <v>142905.02591448644</v>
      </c>
      <c r="M37" s="32"/>
      <c r="N37" s="42"/>
      <c r="O37" s="102"/>
      <c r="P37" s="32" t="s">
        <v>331</v>
      </c>
      <c r="Q37" s="48"/>
      <c r="R37" s="32"/>
      <c r="S37" s="101">
        <f>+S36</f>
        <v>142905.02591448644</v>
      </c>
      <c r="T37" s="32"/>
      <c r="U37" s="32">
        <f t="shared" si="7"/>
        <v>0</v>
      </c>
      <c r="V37" s="41">
        <f t="shared" si="8"/>
        <v>0</v>
      </c>
    </row>
    <row r="38" spans="1:22" x14ac:dyDescent="0.25">
      <c r="A38" s="59"/>
      <c r="B38" s="59"/>
      <c r="D38" s="57">
        <v>22</v>
      </c>
    </row>
    <row r="39" spans="1:22" ht="15.75" thickBot="1" x14ac:dyDescent="0.3">
      <c r="A39" s="59"/>
      <c r="B39" s="59"/>
      <c r="D39" s="57">
        <v>23</v>
      </c>
      <c r="E39" s="31" t="s">
        <v>336</v>
      </c>
      <c r="F39" s="8"/>
      <c r="G39" s="8"/>
      <c r="H39" s="49"/>
      <c r="I39" s="8"/>
      <c r="J39" s="8"/>
      <c r="K39" s="8"/>
      <c r="L39" s="103">
        <f>+L21+L31+L34+L37</f>
        <v>1165080508.2696974</v>
      </c>
      <c r="M39" s="8"/>
      <c r="N39" s="57"/>
      <c r="O39" s="8"/>
      <c r="P39" s="8"/>
      <c r="Q39" s="8"/>
      <c r="R39" s="8"/>
      <c r="S39" s="103">
        <f>+S21+S31+S34+S37</f>
        <v>1211893578.5813401</v>
      </c>
      <c r="T39" s="32"/>
      <c r="U39" s="32">
        <f>+S39-L39</f>
        <v>46813070.311642647</v>
      </c>
      <c r="V39" s="41">
        <f t="shared" ref="V39" si="9">+IF(U39=0,0,(S39-L39)/L39)</f>
        <v>4.0180116291848714E-2</v>
      </c>
    </row>
    <row r="40" spans="1:22" ht="15.75" thickTop="1" x14ac:dyDescent="0.25">
      <c r="A40" s="59"/>
      <c r="B40" s="59"/>
      <c r="D40" s="57">
        <v>24</v>
      </c>
      <c r="E40" s="8"/>
      <c r="F40" s="8"/>
      <c r="G40" s="8"/>
      <c r="H40" s="8"/>
      <c r="I40" s="8"/>
      <c r="J40" s="8"/>
      <c r="K40" s="8"/>
      <c r="L40" s="8"/>
      <c r="M40" s="8"/>
      <c r="N40" s="57"/>
      <c r="O40" s="8"/>
      <c r="P40" s="8"/>
      <c r="Q40" s="8"/>
      <c r="R40" s="8"/>
      <c r="S40" s="8"/>
      <c r="T40" s="8"/>
      <c r="U40" s="8"/>
      <c r="V40" s="8"/>
    </row>
    <row r="41" spans="1:22" x14ac:dyDescent="0.25">
      <c r="A41" s="59"/>
      <c r="B41" s="59"/>
      <c r="D41" s="57">
        <v>25</v>
      </c>
      <c r="E41" s="8"/>
      <c r="F41" s="8"/>
      <c r="G41" s="8"/>
      <c r="H41" s="8"/>
      <c r="I41" s="8"/>
      <c r="J41" s="8"/>
      <c r="K41" s="8"/>
      <c r="L41" s="8"/>
      <c r="M41" s="8"/>
      <c r="N41" s="57"/>
      <c r="O41" s="8"/>
      <c r="P41" s="8"/>
      <c r="Q41" s="8"/>
      <c r="R41" s="8"/>
      <c r="S41" s="8"/>
      <c r="T41" s="8"/>
      <c r="U41" s="8"/>
      <c r="V41" s="8"/>
    </row>
    <row r="42" spans="1:22" x14ac:dyDescent="0.25">
      <c r="A42" s="59"/>
      <c r="B42" s="59"/>
      <c r="D42" s="57">
        <v>26</v>
      </c>
      <c r="E42" s="8"/>
      <c r="F42" s="124" t="s">
        <v>1262</v>
      </c>
      <c r="G42" s="8"/>
      <c r="H42" s="8"/>
      <c r="I42" s="8"/>
      <c r="J42" s="8"/>
      <c r="K42" s="8"/>
      <c r="L42" s="8"/>
      <c r="M42" s="8"/>
      <c r="N42" s="57"/>
      <c r="O42" s="8"/>
      <c r="P42" s="8"/>
      <c r="Q42" s="8"/>
      <c r="R42" s="8"/>
      <c r="S42" s="8"/>
      <c r="T42" s="8"/>
      <c r="U42" s="8"/>
      <c r="V42" s="8"/>
    </row>
    <row r="43" spans="1:22" x14ac:dyDescent="0.25">
      <c r="A43" s="59"/>
      <c r="B43" s="59"/>
      <c r="D43" s="57">
        <v>27</v>
      </c>
      <c r="E43" s="8"/>
      <c r="F43" s="8"/>
      <c r="G43" s="8"/>
      <c r="H43" s="8"/>
      <c r="I43" s="32"/>
      <c r="J43" s="32"/>
      <c r="K43" s="32"/>
      <c r="L43" s="32"/>
      <c r="M43" s="33"/>
      <c r="N43" s="42"/>
      <c r="O43" s="33"/>
      <c r="P43" s="32"/>
      <c r="Q43" s="32"/>
      <c r="R43" s="32"/>
      <c r="S43" s="32"/>
      <c r="T43" s="32"/>
      <c r="U43" s="32"/>
      <c r="V43" s="32"/>
    </row>
    <row r="44" spans="1:22" x14ac:dyDescent="0.25">
      <c r="A44" s="59"/>
      <c r="B44" s="59"/>
      <c r="D44" s="57">
        <v>28</v>
      </c>
      <c r="E44" s="30"/>
      <c r="F44" s="31"/>
      <c r="G44" s="8"/>
      <c r="H44" s="8"/>
      <c r="I44" s="32"/>
      <c r="J44" s="52"/>
      <c r="K44" s="52"/>
      <c r="L44" s="52"/>
      <c r="M44" s="33"/>
      <c r="N44" s="42"/>
      <c r="O44" s="33"/>
      <c r="P44" s="32"/>
      <c r="Q44" s="52"/>
      <c r="R44" s="32"/>
      <c r="S44" s="32"/>
      <c r="T44" s="32"/>
      <c r="U44" s="32"/>
      <c r="V44" s="32"/>
    </row>
    <row r="45" spans="1:22" x14ac:dyDescent="0.25">
      <c r="A45" s="59"/>
      <c r="B45" s="59"/>
      <c r="D45" s="57">
        <v>29</v>
      </c>
      <c r="E45" s="30"/>
      <c r="F45" s="31"/>
      <c r="G45" s="8"/>
      <c r="H45" s="8"/>
      <c r="I45" s="32"/>
      <c r="J45" s="32"/>
      <c r="K45" s="32"/>
      <c r="L45" s="32"/>
      <c r="M45" s="112"/>
      <c r="N45" s="42"/>
      <c r="O45" s="33"/>
      <c r="P45" s="32"/>
      <c r="Q45" s="32"/>
      <c r="R45" s="32"/>
      <c r="S45" s="32"/>
      <c r="T45" s="32"/>
      <c r="U45" s="32"/>
      <c r="V45" s="32"/>
    </row>
    <row r="46" spans="1:22" x14ac:dyDescent="0.25">
      <c r="A46" s="59"/>
      <c r="B46" s="59"/>
      <c r="D46" s="57">
        <v>30</v>
      </c>
      <c r="E46" s="30"/>
      <c r="F46" s="31"/>
      <c r="G46" s="8"/>
      <c r="H46" s="8"/>
      <c r="I46" s="32"/>
      <c r="J46" s="32"/>
      <c r="K46" s="32"/>
      <c r="L46" s="32"/>
      <c r="M46" s="33"/>
      <c r="N46" s="42"/>
      <c r="O46" s="33"/>
      <c r="P46" s="32"/>
      <c r="Q46" s="32"/>
      <c r="R46" s="32"/>
      <c r="S46" s="32"/>
      <c r="T46" s="32"/>
      <c r="U46" s="32"/>
      <c r="V46" s="32"/>
    </row>
    <row r="47" spans="1:22" x14ac:dyDescent="0.25">
      <c r="A47" s="59"/>
      <c r="B47" s="59"/>
      <c r="D47" s="57">
        <v>31</v>
      </c>
      <c r="E47" s="30"/>
      <c r="F47" s="31"/>
      <c r="G47" s="8"/>
      <c r="H47" s="8"/>
      <c r="I47" s="32"/>
      <c r="J47" s="32"/>
      <c r="K47" s="32"/>
      <c r="L47" s="32"/>
      <c r="M47" s="33"/>
      <c r="N47" s="42"/>
      <c r="O47" s="33"/>
      <c r="P47" s="32"/>
      <c r="Q47" s="32"/>
      <c r="R47" s="32"/>
      <c r="S47" s="32"/>
      <c r="T47" s="32"/>
      <c r="U47" s="32"/>
      <c r="V47" s="32"/>
    </row>
    <row r="48" spans="1:22" x14ac:dyDescent="0.25">
      <c r="A48" s="59"/>
      <c r="B48" s="59"/>
      <c r="D48" s="57">
        <v>32</v>
      </c>
      <c r="E48" s="30"/>
      <c r="F48" s="31"/>
      <c r="G48" s="8"/>
      <c r="H48" s="8"/>
      <c r="I48" s="32"/>
      <c r="J48" s="32"/>
      <c r="K48" s="32"/>
      <c r="L48" s="32"/>
      <c r="M48" s="33"/>
      <c r="N48" s="42"/>
      <c r="O48" s="33"/>
      <c r="P48" s="32"/>
      <c r="Q48" s="32"/>
      <c r="R48" s="32"/>
      <c r="S48" s="32"/>
      <c r="T48" s="32"/>
      <c r="U48" s="32"/>
      <c r="V48" s="32"/>
    </row>
    <row r="49" spans="1:22" x14ac:dyDescent="0.25">
      <c r="A49" s="59"/>
      <c r="B49" s="59"/>
      <c r="D49" s="57">
        <v>33</v>
      </c>
      <c r="E49" s="30"/>
      <c r="F49" s="31"/>
      <c r="G49" s="8"/>
      <c r="H49" s="8"/>
      <c r="I49" s="32"/>
      <c r="J49" s="32"/>
      <c r="K49" s="32"/>
      <c r="L49" s="32"/>
      <c r="M49" s="33"/>
      <c r="N49" s="42"/>
      <c r="O49" s="33"/>
      <c r="P49" s="32"/>
      <c r="Q49" s="32"/>
      <c r="R49" s="32"/>
      <c r="S49" s="32"/>
      <c r="T49" s="32"/>
      <c r="U49" s="32"/>
      <c r="V49" s="32"/>
    </row>
    <row r="50" spans="1:22" x14ac:dyDescent="0.25">
      <c r="A50" s="59"/>
      <c r="B50" s="59"/>
      <c r="D50" s="57">
        <v>34</v>
      </c>
      <c r="E50" s="50"/>
      <c r="F50" s="31"/>
      <c r="G50" s="8"/>
      <c r="H50" s="8"/>
      <c r="I50" s="32"/>
      <c r="J50" s="32"/>
      <c r="K50" s="32"/>
      <c r="L50" s="32"/>
      <c r="M50" s="33"/>
      <c r="N50" s="42"/>
      <c r="O50" s="33"/>
      <c r="P50" s="32"/>
      <c r="Q50" s="32"/>
      <c r="R50" s="32"/>
      <c r="S50" s="32"/>
      <c r="T50" s="32"/>
      <c r="U50" s="32"/>
      <c r="V50" s="32"/>
    </row>
    <row r="51" spans="1:22" x14ac:dyDescent="0.25">
      <c r="A51" s="59"/>
      <c r="B51" s="59"/>
      <c r="D51" s="57">
        <v>35</v>
      </c>
      <c r="E51" s="30"/>
      <c r="F51" s="31"/>
      <c r="G51" s="8"/>
      <c r="H51" s="8"/>
      <c r="I51" s="32"/>
      <c r="J51" s="32"/>
      <c r="K51" s="32"/>
      <c r="L51" s="32"/>
      <c r="M51" s="33"/>
      <c r="N51" s="42"/>
      <c r="O51" s="33"/>
      <c r="P51" s="32"/>
      <c r="Q51" s="32"/>
      <c r="R51" s="32"/>
      <c r="S51" s="32"/>
      <c r="T51" s="32"/>
      <c r="U51" s="32"/>
      <c r="V51" s="32"/>
    </row>
    <row r="52" spans="1:22" x14ac:dyDescent="0.25">
      <c r="A52" s="59"/>
      <c r="B52" s="59"/>
      <c r="D52" s="57">
        <v>36</v>
      </c>
      <c r="E52" s="30"/>
      <c r="F52" s="31"/>
      <c r="G52" s="8"/>
      <c r="H52" s="8"/>
      <c r="I52" s="32"/>
      <c r="J52" s="32"/>
      <c r="K52" s="32"/>
      <c r="L52" s="32"/>
      <c r="M52" s="33"/>
      <c r="N52" s="42"/>
      <c r="O52" s="33"/>
      <c r="P52" s="32"/>
      <c r="Q52" s="32"/>
      <c r="R52" s="32"/>
      <c r="S52" s="32"/>
      <c r="T52" s="32"/>
      <c r="U52" s="32"/>
      <c r="V52" s="32"/>
    </row>
    <row r="53" spans="1:22" x14ac:dyDescent="0.25">
      <c r="A53" s="59"/>
      <c r="B53" s="59"/>
      <c r="D53" s="57">
        <v>37</v>
      </c>
      <c r="E53" s="30"/>
      <c r="F53" s="31"/>
      <c r="G53" s="8"/>
      <c r="H53" s="8"/>
      <c r="I53" s="32"/>
      <c r="J53" s="32"/>
      <c r="K53" s="32"/>
      <c r="L53" s="32"/>
      <c r="M53" s="33"/>
      <c r="N53" s="42"/>
      <c r="O53" s="33"/>
      <c r="P53" s="32"/>
      <c r="Q53" s="32"/>
      <c r="R53" s="32"/>
      <c r="S53" s="32"/>
      <c r="T53" s="32"/>
      <c r="U53" s="32"/>
      <c r="V53" s="32"/>
    </row>
    <row r="54" spans="1:22" x14ac:dyDescent="0.25">
      <c r="A54" s="59"/>
      <c r="B54" s="59"/>
      <c r="D54" s="57">
        <v>38</v>
      </c>
      <c r="E54" s="30"/>
      <c r="F54" s="31"/>
      <c r="G54" s="8"/>
      <c r="H54" s="8"/>
      <c r="I54" s="32"/>
      <c r="J54" s="32"/>
      <c r="K54" s="32"/>
      <c r="L54" s="32"/>
      <c r="M54" s="33"/>
      <c r="N54" s="42"/>
      <c r="O54" s="33"/>
      <c r="P54" s="32"/>
      <c r="Q54" s="32"/>
      <c r="R54" s="32"/>
      <c r="S54" s="32"/>
      <c r="T54" s="32"/>
      <c r="U54" s="32"/>
      <c r="V54" s="32"/>
    </row>
    <row r="55" spans="1:22" ht="15.75" thickBot="1" x14ac:dyDescent="0.3">
      <c r="A55" s="59"/>
      <c r="B55" s="59"/>
      <c r="D55" s="58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304</v>
      </c>
    </row>
  </sheetData>
  <mergeCells count="2">
    <mergeCell ref="K3:O3"/>
    <mergeCell ref="K4:O4"/>
  </mergeCells>
  <pageMargins left="0.7" right="0.7" top="0.75" bottom="0.75" header="0.3" footer="0.3"/>
  <pageSetup scale="53" fitToHeight="0" orientation="landscape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CAC92-CA37-404B-A3B2-56DDE7C2D8BB}">
  <sheetPr>
    <pageSetUpPr fitToPage="1"/>
  </sheetPr>
  <dimension ref="A3:V110"/>
  <sheetViews>
    <sheetView topLeftCell="C1" zoomScale="110" zoomScaleNormal="110" workbookViewId="0">
      <selection activeCell="D69" sqref="D69:D109"/>
    </sheetView>
  </sheetViews>
  <sheetFormatPr defaultRowHeight="15" x14ac:dyDescent="0.25"/>
  <cols>
    <col min="1" max="1" width="39.85546875" bestFit="1" customWidth="1"/>
    <col min="2" max="2" width="28.85546875" bestFit="1" customWidth="1"/>
    <col min="8" max="8" width="21.85546875" bestFit="1" customWidth="1"/>
    <col min="10" max="10" width="9.42578125" bestFit="1" customWidth="1"/>
    <col min="12" max="12" width="19" bestFit="1" customWidth="1"/>
    <col min="15" max="15" width="10.7109375" bestFit="1" customWidth="1"/>
    <col min="17" max="17" width="9.42578125" bestFit="1" customWidth="1"/>
    <col min="19" max="19" width="24" bestFit="1" customWidth="1"/>
    <col min="21" max="21" width="9.85546875" bestFit="1" customWidth="1"/>
    <col min="22" max="22" width="18.7109375" bestFit="1" customWidth="1"/>
  </cols>
  <sheetData>
    <row r="3" spans="1:22" x14ac:dyDescent="0.2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75" thickBot="1" x14ac:dyDescent="0.3">
      <c r="D4" s="9" t="s">
        <v>305</v>
      </c>
      <c r="E4" s="9"/>
      <c r="F4" s="9"/>
      <c r="G4" s="9"/>
      <c r="H4" s="9"/>
      <c r="I4" s="9"/>
      <c r="J4" s="9"/>
      <c r="K4" s="379" t="s">
        <v>306</v>
      </c>
      <c r="L4" s="379"/>
      <c r="M4" s="379"/>
      <c r="N4" s="379"/>
      <c r="O4" s="379"/>
      <c r="P4" s="9"/>
      <c r="Q4" s="9"/>
      <c r="R4" s="9"/>
      <c r="S4" s="9"/>
      <c r="T4" s="9"/>
      <c r="U4" s="9"/>
      <c r="V4" s="13" t="s">
        <v>874</v>
      </c>
    </row>
    <row r="5" spans="1:22" x14ac:dyDescent="0.25">
      <c r="A5" s="60" t="s">
        <v>711</v>
      </c>
      <c r="B5" s="61">
        <f>+'Operating Revenue Requirement'!F5</f>
        <v>109319535.67557359</v>
      </c>
      <c r="D5" s="8" t="s">
        <v>307</v>
      </c>
      <c r="E5" s="8"/>
      <c r="F5" s="8"/>
      <c r="G5" s="8"/>
      <c r="H5" s="8" t="s">
        <v>308</v>
      </c>
      <c r="I5" s="8" t="s">
        <v>910</v>
      </c>
      <c r="K5" s="8"/>
      <c r="L5" s="8"/>
      <c r="M5" s="8"/>
      <c r="N5" s="98"/>
      <c r="O5" s="99"/>
      <c r="P5" s="8"/>
      <c r="R5" s="99"/>
      <c r="S5" s="99" t="s">
        <v>309</v>
      </c>
      <c r="T5" s="8"/>
      <c r="U5" s="8"/>
      <c r="V5" s="10"/>
    </row>
    <row r="6" spans="1:22" x14ac:dyDescent="0.25">
      <c r="D6" s="8"/>
      <c r="E6" s="8"/>
      <c r="F6" s="8"/>
      <c r="G6" s="8"/>
      <c r="H6" s="8"/>
      <c r="I6" s="8" t="s">
        <v>911</v>
      </c>
      <c r="K6" s="8"/>
      <c r="L6" s="8"/>
      <c r="M6" s="8"/>
      <c r="N6" s="57"/>
      <c r="O6" s="10"/>
      <c r="P6" s="8"/>
      <c r="R6" s="11"/>
      <c r="S6" s="117" t="s">
        <v>916</v>
      </c>
      <c r="T6" s="116" t="s">
        <v>1512</v>
      </c>
      <c r="U6" s="8"/>
      <c r="V6" s="11"/>
    </row>
    <row r="7" spans="1:22" x14ac:dyDescent="0.25">
      <c r="A7" s="62" t="s">
        <v>713</v>
      </c>
      <c r="B7" s="64">
        <v>4.0187765E-2</v>
      </c>
      <c r="D7" s="8" t="s">
        <v>310</v>
      </c>
      <c r="E7" s="8"/>
      <c r="F7" s="8"/>
      <c r="G7" s="8"/>
      <c r="H7" s="8"/>
      <c r="I7" s="8" t="s">
        <v>912</v>
      </c>
      <c r="J7" s="8"/>
      <c r="K7" s="8"/>
      <c r="L7" s="8"/>
      <c r="M7" s="8"/>
      <c r="N7" s="57"/>
      <c r="O7" s="10"/>
      <c r="P7" s="11"/>
      <c r="Q7" s="8"/>
      <c r="R7" s="8"/>
      <c r="S7" s="265"/>
      <c r="T7" s="116"/>
      <c r="U7" s="8"/>
      <c r="V7" s="11"/>
    </row>
    <row r="8" spans="1:22" x14ac:dyDescent="0.25">
      <c r="A8" s="62" t="s">
        <v>712</v>
      </c>
      <c r="B8" s="63">
        <f>+(S41+S82)</f>
        <v>109319535.89267524</v>
      </c>
      <c r="D8" s="8"/>
      <c r="E8" s="8"/>
      <c r="F8" s="8"/>
      <c r="G8" s="8"/>
      <c r="H8" s="8"/>
      <c r="I8" s="8" t="s">
        <v>913</v>
      </c>
      <c r="J8" s="8"/>
      <c r="K8" s="8"/>
      <c r="L8" s="8"/>
      <c r="M8" s="8"/>
      <c r="N8" s="57"/>
      <c r="O8" s="10"/>
      <c r="P8" s="11"/>
      <c r="Q8" s="8"/>
      <c r="R8" s="8"/>
      <c r="S8" s="265"/>
      <c r="T8" s="116"/>
      <c r="U8" s="8"/>
      <c r="V8" s="11"/>
    </row>
    <row r="9" spans="1:22" x14ac:dyDescent="0.25">
      <c r="D9" s="8"/>
      <c r="E9" s="8"/>
      <c r="F9" s="11"/>
      <c r="G9" s="8"/>
      <c r="H9" s="8"/>
      <c r="I9" s="8" t="s">
        <v>914</v>
      </c>
      <c r="J9" s="8"/>
      <c r="K9" s="12"/>
      <c r="L9" s="12"/>
      <c r="M9" s="12"/>
      <c r="N9" s="57"/>
      <c r="O9" s="8"/>
      <c r="P9" s="8"/>
      <c r="Q9" s="8"/>
      <c r="R9" s="8"/>
      <c r="S9" s="265"/>
      <c r="U9" s="8"/>
      <c r="V9" s="8"/>
    </row>
    <row r="10" spans="1:22" ht="15.75" thickBot="1" x14ac:dyDescent="0.3">
      <c r="D10" s="9" t="s">
        <v>1292</v>
      </c>
      <c r="E10" s="9"/>
      <c r="F10" s="13"/>
      <c r="G10" s="14"/>
      <c r="H10" s="14"/>
      <c r="I10" s="15" t="s">
        <v>915</v>
      </c>
      <c r="J10" s="15"/>
      <c r="K10" s="14"/>
      <c r="L10" s="14"/>
      <c r="M10" s="14"/>
      <c r="N10" s="14"/>
      <c r="O10" s="14"/>
      <c r="P10" s="14"/>
      <c r="Q10" s="15"/>
      <c r="R10" s="14"/>
      <c r="S10" s="14"/>
      <c r="T10" s="114" t="s">
        <v>1519</v>
      </c>
      <c r="U10" s="14"/>
      <c r="V10" s="14"/>
    </row>
    <row r="11" spans="1:22" x14ac:dyDescent="0.2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12"/>
      <c r="R11" s="8"/>
      <c r="S11" s="8"/>
      <c r="T11" s="8"/>
      <c r="U11" s="8"/>
      <c r="V11" s="8"/>
    </row>
    <row r="12" spans="1:22" x14ac:dyDescent="0.2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25">
      <c r="D13" s="8"/>
      <c r="E13" s="8"/>
      <c r="F13" s="8"/>
      <c r="G13" s="8"/>
      <c r="H13" s="8"/>
      <c r="I13" s="16"/>
      <c r="J13" s="16"/>
      <c r="K13" s="17"/>
      <c r="L13" s="17" t="s">
        <v>311</v>
      </c>
      <c r="M13" s="12"/>
      <c r="N13" s="18" t="s">
        <v>337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2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D15" s="57" t="s">
        <v>313</v>
      </c>
      <c r="E15" s="19" t="s">
        <v>314</v>
      </c>
      <c r="F15" s="21"/>
      <c r="G15" s="21"/>
      <c r="H15" s="22"/>
      <c r="I15" s="22"/>
      <c r="J15" s="23" t="s">
        <v>315</v>
      </c>
      <c r="K15" s="22"/>
      <c r="L15" s="22"/>
      <c r="M15" s="20"/>
      <c r="N15" s="24"/>
      <c r="O15" s="22"/>
      <c r="P15" s="23"/>
      <c r="Q15" s="23" t="s">
        <v>316</v>
      </c>
      <c r="R15" s="22"/>
      <c r="S15" s="22"/>
      <c r="T15" s="20"/>
      <c r="U15" s="25" t="s">
        <v>317</v>
      </c>
      <c r="V15" s="25" t="s">
        <v>318</v>
      </c>
    </row>
    <row r="16" spans="1:22" ht="15.75" thickBot="1" x14ac:dyDescent="0.3">
      <c r="A16" s="85" t="s">
        <v>551</v>
      </c>
      <c r="B16" s="85" t="s">
        <v>552</v>
      </c>
      <c r="D16" s="58" t="s">
        <v>319</v>
      </c>
      <c r="E16" s="192" t="s">
        <v>320</v>
      </c>
      <c r="F16" s="27"/>
      <c r="G16" s="9"/>
      <c r="H16" s="58" t="s">
        <v>321</v>
      </c>
      <c r="I16" s="28"/>
      <c r="J16" s="28" t="s">
        <v>322</v>
      </c>
      <c r="K16" s="28"/>
      <c r="L16" s="28" t="s">
        <v>323</v>
      </c>
      <c r="M16" s="28"/>
      <c r="N16" s="28"/>
      <c r="O16" s="28" t="s">
        <v>321</v>
      </c>
      <c r="P16" s="28"/>
      <c r="Q16" s="28" t="s">
        <v>322</v>
      </c>
      <c r="R16" s="28"/>
      <c r="S16" s="28" t="s">
        <v>323</v>
      </c>
      <c r="T16" s="27"/>
      <c r="U16" s="29" t="s">
        <v>324</v>
      </c>
      <c r="V16" s="29" t="s">
        <v>325</v>
      </c>
    </row>
    <row r="17" spans="1:22" x14ac:dyDescent="0.25">
      <c r="D17" s="57">
        <v>1</v>
      </c>
      <c r="E17" s="30"/>
      <c r="F17" s="31"/>
      <c r="G17" s="8"/>
      <c r="H17" s="8"/>
      <c r="I17" s="35"/>
      <c r="J17" s="35"/>
      <c r="K17" s="35"/>
      <c r="L17" s="35"/>
      <c r="M17" s="31"/>
      <c r="N17" s="24"/>
      <c r="O17" s="31"/>
      <c r="P17" s="35"/>
      <c r="Q17" s="35"/>
      <c r="R17" s="35"/>
      <c r="S17" s="35"/>
      <c r="T17" s="35"/>
      <c r="U17" s="35"/>
      <c r="V17" s="35"/>
    </row>
    <row r="18" spans="1:22" x14ac:dyDescent="0.25">
      <c r="A18" s="59"/>
      <c r="B18" s="59"/>
      <c r="D18" s="57">
        <v>2</v>
      </c>
      <c r="E18" s="31" t="s">
        <v>326</v>
      </c>
      <c r="F18" s="31"/>
      <c r="G18" s="8"/>
      <c r="H18" s="8"/>
      <c r="I18" s="32"/>
      <c r="J18" s="32"/>
      <c r="K18" s="32"/>
      <c r="L18" s="32"/>
      <c r="M18" s="33"/>
      <c r="N18" s="42"/>
      <c r="O18" s="33"/>
      <c r="P18" s="32"/>
      <c r="Q18" s="32"/>
      <c r="R18" s="32"/>
      <c r="S18" s="32"/>
      <c r="T18" s="32"/>
      <c r="U18" s="32"/>
      <c r="V18" s="32"/>
    </row>
    <row r="19" spans="1:22" x14ac:dyDescent="0.25">
      <c r="A19" s="59" t="s">
        <v>11</v>
      </c>
      <c r="B19" s="59" t="s">
        <v>536</v>
      </c>
      <c r="D19" s="57">
        <v>3</v>
      </c>
      <c r="E19" s="193" t="s">
        <v>338</v>
      </c>
      <c r="F19" s="31"/>
      <c r="G19" s="8"/>
      <c r="H19" s="33">
        <f>+INDEX('2025 Billing Determinants'!B:B,MATCH('2027 GS Rate Class E-13c'!A19,'2025 Billing Determinants'!A:A,0))</f>
        <v>24905825</v>
      </c>
      <c r="I19" s="32" t="s">
        <v>328</v>
      </c>
      <c r="J19" s="39">
        <f>+INDEX('2026 Base Rates'!E:E,MATCH('2027 GS Rate Class E-13c'!B19,'2026 Base Rates'!D:D,0))</f>
        <v>1.3453052596000001</v>
      </c>
      <c r="K19" s="32"/>
      <c r="L19" s="32">
        <f>+H19*J19</f>
        <v>33505937.367177173</v>
      </c>
      <c r="M19" s="33"/>
      <c r="N19" s="42"/>
      <c r="O19" s="33">
        <f>+INDEX('2025 Billing Determinants'!B:B,MATCH('2027 GS Rate Class E-13c'!A19,'2025 Billing Determinants'!A:A,0))</f>
        <v>24905825</v>
      </c>
      <c r="P19" s="32" t="s">
        <v>328</v>
      </c>
      <c r="Q19" s="39">
        <f>+J19*(1+$B$7)</f>
        <v>1.3993700712260688</v>
      </c>
      <c r="R19" s="32"/>
      <c r="S19" s="32">
        <f>+O19*Q19</f>
        <v>34852466.104194008</v>
      </c>
      <c r="T19" s="32"/>
      <c r="U19" s="32">
        <f>+S19-L19</f>
        <v>1346528.7370168343</v>
      </c>
      <c r="V19" s="41">
        <f>+IF(U19=0,0,(S19-L19)/L19)</f>
        <v>4.0187764999999979E-2</v>
      </c>
    </row>
    <row r="20" spans="1:22" x14ac:dyDescent="0.25">
      <c r="A20" s="59" t="s">
        <v>12</v>
      </c>
      <c r="B20" s="59" t="s">
        <v>537</v>
      </c>
      <c r="D20" s="57">
        <v>4</v>
      </c>
      <c r="E20" s="193" t="s">
        <v>339</v>
      </c>
      <c r="F20" s="31"/>
      <c r="G20" s="8"/>
      <c r="H20" s="33">
        <f>+INDEX('2025 Billing Determinants'!B:B,MATCH('2027 GS Rate Class E-13c'!A20,'2025 Billing Determinants'!A:A,0))</f>
        <v>35156</v>
      </c>
      <c r="I20" s="32" t="s">
        <v>328</v>
      </c>
      <c r="J20" s="39">
        <f>+INDEX('2026 Base Rates'!E:E,MATCH('2027 GS Rate Class E-13c'!B20,'2026 Base Rates'!D:D,0))</f>
        <v>1.1228532088000001</v>
      </c>
      <c r="K20" s="32"/>
      <c r="L20" s="32">
        <f>+H20*J20</f>
        <v>39475.027408572802</v>
      </c>
      <c r="M20" s="33"/>
      <c r="N20" s="42"/>
      <c r="O20" s="33">
        <f>+INDEX('2025 Billing Determinants'!B:B,MATCH('2027 GS Rate Class E-13c'!A20,'2025 Billing Determinants'!A:A,0))</f>
        <v>35156</v>
      </c>
      <c r="P20" s="32" t="s">
        <v>328</v>
      </c>
      <c r="Q20" s="39">
        <f t="shared" ref="Q20:Q21" si="0">+J20*(1+$B$7)</f>
        <v>1.1679781696847504</v>
      </c>
      <c r="R20" s="32"/>
      <c r="S20" s="32">
        <f t="shared" ref="S20:S21" si="1">+O20*Q20</f>
        <v>41061.440533437089</v>
      </c>
      <c r="T20" s="32"/>
      <c r="U20" s="32">
        <f t="shared" ref="U20:U22" si="2">+S20-L20</f>
        <v>1586.413124864288</v>
      </c>
      <c r="V20" s="41">
        <f t="shared" ref="V20:V22" si="3">+IF(U20=0,0,(S20-L20)/L20)</f>
        <v>4.0187765000000132E-2</v>
      </c>
    </row>
    <row r="21" spans="1:22" ht="16.5" x14ac:dyDescent="0.35">
      <c r="A21" s="59" t="s">
        <v>13</v>
      </c>
      <c r="B21" s="59" t="s">
        <v>538</v>
      </c>
      <c r="D21" s="57">
        <v>5</v>
      </c>
      <c r="E21" s="193" t="s">
        <v>340</v>
      </c>
      <c r="F21" s="31"/>
      <c r="G21" s="8"/>
      <c r="H21" s="104">
        <f>+INDEX('2025 Billing Determinants'!B:B,MATCH('2027 GS Rate Class E-13c'!A21,'2025 Billing Determinants'!A:A,0))</f>
        <v>830344</v>
      </c>
      <c r="I21" s="32" t="s">
        <v>328</v>
      </c>
      <c r="J21" s="39">
        <f>+INDEX('2026 Base Rates'!E:E,MATCH('2027 GS Rate Class E-13c'!B21,'2026 Base Rates'!D:D,0))</f>
        <v>1.3453052596000001</v>
      </c>
      <c r="K21" s="32"/>
      <c r="L21" s="32">
        <f>+H21*J21</f>
        <v>1117066.1504773025</v>
      </c>
      <c r="M21" s="32"/>
      <c r="N21" s="42"/>
      <c r="O21" s="104">
        <f>+INDEX('2025 Billing Determinants'!B:B,MATCH('2027 GS Rate Class E-13c'!A21,'2025 Billing Determinants'!A:A,0))</f>
        <v>830344</v>
      </c>
      <c r="P21" s="32" t="s">
        <v>328</v>
      </c>
      <c r="Q21" s="39">
        <f t="shared" si="0"/>
        <v>1.3993700712260688</v>
      </c>
      <c r="R21" s="32"/>
      <c r="S21" s="32">
        <f t="shared" si="1"/>
        <v>1161958.5424221389</v>
      </c>
      <c r="T21" s="32"/>
      <c r="U21" s="32">
        <f t="shared" si="2"/>
        <v>44892.391944836359</v>
      </c>
      <c r="V21" s="41">
        <f t="shared" si="3"/>
        <v>4.0187764999999903E-2</v>
      </c>
    </row>
    <row r="22" spans="1:22" x14ac:dyDescent="0.25">
      <c r="A22" s="59"/>
      <c r="B22" s="59"/>
      <c r="D22" s="57">
        <v>6</v>
      </c>
      <c r="E22" s="20" t="s">
        <v>330</v>
      </c>
      <c r="F22" s="31"/>
      <c r="G22" s="8"/>
      <c r="H22" s="33">
        <f>+SUM(H19:H21)</f>
        <v>25771325</v>
      </c>
      <c r="I22" s="32" t="s">
        <v>341</v>
      </c>
      <c r="J22" s="32"/>
      <c r="K22" s="32"/>
      <c r="L22" s="101">
        <f>+SUM(L19:L21)</f>
        <v>34662478.545063049</v>
      </c>
      <c r="M22" s="32"/>
      <c r="N22" s="42"/>
      <c r="O22" s="33">
        <f>+SUM(O19:O21)</f>
        <v>25771325</v>
      </c>
      <c r="P22" s="32" t="s">
        <v>341</v>
      </c>
      <c r="Q22" s="32"/>
      <c r="R22" s="32"/>
      <c r="S22" s="101">
        <f>+SUM(S19:S21)</f>
        <v>36055486.087149583</v>
      </c>
      <c r="T22" s="32"/>
      <c r="U22" s="32">
        <f t="shared" si="2"/>
        <v>1393007.5420865342</v>
      </c>
      <c r="V22" s="41">
        <f t="shared" si="3"/>
        <v>4.0187764999999959E-2</v>
      </c>
    </row>
    <row r="23" spans="1:22" x14ac:dyDescent="0.25">
      <c r="A23" s="59"/>
      <c r="B23" s="59"/>
      <c r="D23" s="57">
        <v>7</v>
      </c>
      <c r="E23" s="31"/>
      <c r="F23" s="31"/>
      <c r="G23" s="8"/>
      <c r="H23" s="33"/>
      <c r="I23" s="32"/>
      <c r="J23" s="32"/>
      <c r="K23" s="32"/>
      <c r="L23" s="32"/>
      <c r="M23" s="32"/>
      <c r="N23" s="42"/>
      <c r="O23" s="32"/>
      <c r="P23" s="32"/>
      <c r="Q23" s="32"/>
      <c r="R23" s="32"/>
      <c r="S23" s="32"/>
      <c r="T23" s="32"/>
      <c r="U23" s="32"/>
      <c r="V23" s="43"/>
    </row>
    <row r="24" spans="1:22" x14ac:dyDescent="0.25">
      <c r="A24" s="59"/>
      <c r="B24" s="59"/>
      <c r="D24" s="57">
        <v>8</v>
      </c>
      <c r="E24" s="31" t="s">
        <v>342</v>
      </c>
      <c r="F24" s="35"/>
      <c r="G24" s="8"/>
      <c r="H24" s="32"/>
      <c r="I24" s="32"/>
      <c r="J24" s="32"/>
      <c r="K24" s="32"/>
      <c r="L24" s="32"/>
      <c r="M24" s="32"/>
      <c r="N24" s="42"/>
      <c r="O24" s="32"/>
      <c r="P24" s="32"/>
      <c r="Q24" s="32"/>
      <c r="R24" s="32"/>
      <c r="S24" s="32"/>
      <c r="T24" s="32"/>
      <c r="U24" s="32"/>
      <c r="V24" s="43"/>
    </row>
    <row r="25" spans="1:22" x14ac:dyDescent="0.25">
      <c r="A25" s="59" t="s">
        <v>14</v>
      </c>
      <c r="B25" s="59" t="s">
        <v>485</v>
      </c>
      <c r="D25" s="57">
        <v>9</v>
      </c>
      <c r="E25" s="193" t="s">
        <v>327</v>
      </c>
      <c r="F25" s="35"/>
      <c r="G25" s="8"/>
      <c r="H25" s="33">
        <f>+INDEX('2025 Billing Determinants'!B:B,MATCH('2027 GS Rate Class E-13c'!A25,'2025 Billing Determinants'!A:A,0))</f>
        <v>910365971</v>
      </c>
      <c r="I25" s="32" t="s">
        <v>710</v>
      </c>
      <c r="J25" s="48">
        <f>+INDEX('2026 Base Rates'!E:E,MATCH('2027 GS Rate Class E-13c'!B25,'2026 Base Rates'!D:D,0))</f>
        <v>7.2100512585157872E-2</v>
      </c>
      <c r="K25" s="32"/>
      <c r="L25" s="32">
        <f>+H25*J25</f>
        <v>65637853.149184965</v>
      </c>
      <c r="M25" s="32"/>
      <c r="N25" s="42"/>
      <c r="O25" s="33">
        <f>+INDEX('2025 Billing Determinants'!B:B,MATCH('2027 GS Rate Class E-13c'!A25,'2025 Billing Determinants'!A:A,0))</f>
        <v>910365971</v>
      </c>
      <c r="P25" s="32" t="s">
        <v>710</v>
      </c>
      <c r="Q25" s="48">
        <f t="shared" ref="Q25:Q29" si="4">+J25*(1+$B$7)</f>
        <v>7.4998071041309733E-2</v>
      </c>
      <c r="R25" s="32"/>
      <c r="S25" s="32">
        <f>+O25*Q25</f>
        <v>68275691.766648918</v>
      </c>
      <c r="T25" s="32"/>
      <c r="U25" s="32">
        <f t="shared" ref="U25:U30" si="5">+S25-L25</f>
        <v>2637838.6174639538</v>
      </c>
      <c r="V25" s="41">
        <f t="shared" ref="V25:V30" si="6">+IF(U25=0,0,(S25-L25)/L25)</f>
        <v>4.0187764999999979E-2</v>
      </c>
    </row>
    <row r="26" spans="1:22" x14ac:dyDescent="0.25">
      <c r="A26" s="59" t="s">
        <v>15</v>
      </c>
      <c r="B26" s="59" t="s">
        <v>486</v>
      </c>
      <c r="D26" s="57">
        <v>10</v>
      </c>
      <c r="E26" s="193" t="s">
        <v>339</v>
      </c>
      <c r="F26" s="35"/>
      <c r="G26" s="8"/>
      <c r="H26" s="33">
        <f>+INDEX('2025 Billing Determinants'!B:B,MATCH('2027 GS Rate Class E-13c'!A26,'2025 Billing Determinants'!A:A,0))</f>
        <v>1036577</v>
      </c>
      <c r="I26" s="32" t="s">
        <v>710</v>
      </c>
      <c r="J26" s="48">
        <f>+INDEX('2026 Base Rates'!E:E,MATCH('2027 GS Rate Class E-13c'!B26,'2026 Base Rates'!D:D,0))</f>
        <v>7.2100512585157872E-2</v>
      </c>
      <c r="K26" s="32"/>
      <c r="L26" s="32">
        <f t="shared" ref="L26:L27" si="7">+H26*J26</f>
        <v>74737.733033985191</v>
      </c>
      <c r="M26" s="32"/>
      <c r="N26" s="42"/>
      <c r="O26" s="33">
        <f>+INDEX('2025 Billing Determinants'!B:B,MATCH('2027 GS Rate Class E-13c'!A26,'2025 Billing Determinants'!A:A,0))</f>
        <v>1036577</v>
      </c>
      <c r="P26" s="32" t="s">
        <v>710</v>
      </c>
      <c r="Q26" s="48">
        <f t="shared" si="4"/>
        <v>7.4998071041309733E-2</v>
      </c>
      <c r="R26" s="32"/>
      <c r="S26" s="32">
        <f t="shared" ref="S26:S30" si="8">+O26*Q26</f>
        <v>77741.275485787715</v>
      </c>
      <c r="T26" s="32"/>
      <c r="U26" s="32">
        <f t="shared" si="5"/>
        <v>3003.5424518025247</v>
      </c>
      <c r="V26" s="41">
        <f t="shared" si="6"/>
        <v>4.0187764999999875E-2</v>
      </c>
    </row>
    <row r="27" spans="1:22" x14ac:dyDescent="0.25">
      <c r="A27" s="59" t="s">
        <v>17</v>
      </c>
      <c r="B27" s="59" t="s">
        <v>487</v>
      </c>
      <c r="D27" s="57">
        <v>11</v>
      </c>
      <c r="E27" s="193" t="s">
        <v>343</v>
      </c>
      <c r="F27" s="35"/>
      <c r="G27" s="8"/>
      <c r="H27" s="33">
        <f>+INDEX('2025 Billing Determinants'!B:B,MATCH('2027 GS Rate Class E-13c'!A27,'2025 Billing Determinants'!A:A,0))</f>
        <v>6385234</v>
      </c>
      <c r="I27" s="32" t="s">
        <v>710</v>
      </c>
      <c r="J27" s="48">
        <f>+INDEX('2026 Base Rates'!E:E,MATCH('2027 GS Rate Class E-13c'!B27,'2026 Base Rates'!D:D,0))</f>
        <v>0.10499602754864824</v>
      </c>
      <c r="K27" s="72"/>
      <c r="L27" s="32">
        <f t="shared" si="7"/>
        <v>670424.20496856538</v>
      </c>
      <c r="M27" s="32"/>
      <c r="N27" s="42"/>
      <c r="O27" s="33">
        <f>+INDEX('2025 Billing Determinants'!B:B,MATCH('2027 GS Rate Class E-13c'!A27,'2025 Billing Determinants'!A:A,0))</f>
        <v>6385234</v>
      </c>
      <c r="P27" s="32" t="s">
        <v>710</v>
      </c>
      <c r="Q27" s="48">
        <f t="shared" si="4"/>
        <v>0.10921558322970684</v>
      </c>
      <c r="R27" s="32"/>
      <c r="S27" s="32">
        <f t="shared" si="8"/>
        <v>697367.05536815396</v>
      </c>
      <c r="T27" s="32"/>
      <c r="U27" s="32">
        <f t="shared" si="5"/>
        <v>26942.850399588584</v>
      </c>
      <c r="V27" s="41">
        <f t="shared" si="6"/>
        <v>4.018776500000007E-2</v>
      </c>
    </row>
    <row r="28" spans="1:22" x14ac:dyDescent="0.25">
      <c r="A28" s="59" t="s">
        <v>18</v>
      </c>
      <c r="B28" s="59" t="s">
        <v>488</v>
      </c>
      <c r="D28" s="57">
        <v>12</v>
      </c>
      <c r="E28" s="193" t="s">
        <v>344</v>
      </c>
      <c r="F28" s="35"/>
      <c r="G28" s="8"/>
      <c r="H28" s="33">
        <f>+INDEX('2025 Billing Determinants'!B:B,MATCH('2027 GS Rate Class E-13c'!A28,'2025 Billing Determinants'!A:A,0))</f>
        <v>11254304</v>
      </c>
      <c r="I28" s="32" t="s">
        <v>710</v>
      </c>
      <c r="J28" s="48">
        <f>+INDEX('2026 Base Rates'!E:E,MATCH('2027 GS Rate Class E-13c'!B28,'2026 Base Rates'!D:D,0))</f>
        <v>5.6925198666248247E-2</v>
      </c>
      <c r="K28" s="32"/>
      <c r="L28" s="32">
        <f>+H28*J28</f>
        <v>640653.49105035234</v>
      </c>
      <c r="M28" s="32"/>
      <c r="N28" s="42"/>
      <c r="O28" s="33">
        <f>+INDEX('2025 Billing Determinants'!B:B,MATCH('2027 GS Rate Class E-13c'!A28,'2025 Billing Determinants'!A:A,0))</f>
        <v>11254304</v>
      </c>
      <c r="P28" s="32" t="s">
        <v>710</v>
      </c>
      <c r="Q28" s="48">
        <f t="shared" si="4"/>
        <v>5.9212895172825741E-2</v>
      </c>
      <c r="R28" s="32"/>
      <c r="S28" s="32">
        <f t="shared" si="8"/>
        <v>666399.92299511342</v>
      </c>
      <c r="T28" s="32"/>
      <c r="U28" s="32">
        <f t="shared" si="5"/>
        <v>25746.431944761076</v>
      </c>
      <c r="V28" s="41">
        <f t="shared" si="6"/>
        <v>4.0187764999999862E-2</v>
      </c>
    </row>
    <row r="29" spans="1:22" x14ac:dyDescent="0.25">
      <c r="A29" s="59" t="s">
        <v>890</v>
      </c>
      <c r="B29" s="59" t="s">
        <v>1233</v>
      </c>
      <c r="D29" s="57">
        <v>13</v>
      </c>
      <c r="E29" s="193" t="s">
        <v>1265</v>
      </c>
      <c r="H29" s="33">
        <f>+INDEX('2025 Billing Determinants'!B:B,MATCH('2027 GS Rate Class E-13c'!A29,'2025 Billing Determinants'!A:A,0))</f>
        <v>9124494.0999999996</v>
      </c>
      <c r="I29" s="32" t="s">
        <v>710</v>
      </c>
      <c r="J29" s="48">
        <f>+INDEX('2026 Base Rates'!E:E,MATCH('2027 GS Rate Class E-13c'!B29,'2026 Base Rates'!D:D,0))</f>
        <v>5.2783353339448245E-2</v>
      </c>
      <c r="L29" s="32">
        <f>+H29*J29</f>
        <v>481621.39612401079</v>
      </c>
      <c r="O29" s="33">
        <f>+INDEX('2025 Billing Determinants'!B:B,MATCH('2027 GS Rate Class E-13c'!A29,'2025 Billing Determinants'!A:A,0))</f>
        <v>9124494.0999999996</v>
      </c>
      <c r="P29" s="32" t="s">
        <v>710</v>
      </c>
      <c r="Q29" s="48">
        <f t="shared" si="4"/>
        <v>5.4904598339365958E-2</v>
      </c>
      <c r="S29" s="32">
        <f t="shared" si="8"/>
        <v>500976.68361041445</v>
      </c>
      <c r="U29" s="32">
        <f t="shared" si="5"/>
        <v>19355.287486403657</v>
      </c>
      <c r="V29" s="143">
        <f>IFERROR(+IF(U29=0,0,(S29-L29)/L29),"New Rate")</f>
        <v>4.0187765E-2</v>
      </c>
    </row>
    <row r="30" spans="1:22" x14ac:dyDescent="0.25">
      <c r="A30" s="59" t="s">
        <v>301</v>
      </c>
      <c r="B30" s="59" t="s">
        <v>1261</v>
      </c>
      <c r="D30" s="57">
        <v>14</v>
      </c>
      <c r="E30" s="193" t="s">
        <v>1260</v>
      </c>
      <c r="H30" s="33">
        <f>+INDEX('2025 Billing Determinants'!B:B,MATCH('2027 GS Rate Class E-13c'!A30,'2025 Billing Determinants'!A:A,0))</f>
        <v>271425.18464868463</v>
      </c>
      <c r="I30" s="32" t="s">
        <v>710</v>
      </c>
      <c r="J30" s="48">
        <v>6.3E-2</v>
      </c>
      <c r="L30" s="32">
        <f>+H30*J30</f>
        <v>17099.786632867133</v>
      </c>
      <c r="O30" s="33">
        <f>+INDEX('2025 Billing Determinants'!B:B,MATCH('2027 GS Rate Class E-13c'!A30,'2025 Billing Determinants'!A:A,0))</f>
        <v>271425.18464868463</v>
      </c>
      <c r="P30" s="32" t="s">
        <v>710</v>
      </c>
      <c r="Q30" s="48">
        <f>+J30</f>
        <v>6.3E-2</v>
      </c>
      <c r="S30" s="32">
        <f t="shared" si="8"/>
        <v>17099.786632867133</v>
      </c>
      <c r="U30" s="32">
        <f t="shared" si="5"/>
        <v>0</v>
      </c>
      <c r="V30" s="41">
        <f t="shared" si="6"/>
        <v>0</v>
      </c>
    </row>
    <row r="31" spans="1:22" x14ac:dyDescent="0.25">
      <c r="A31" s="59"/>
      <c r="B31" s="59"/>
      <c r="D31" s="57">
        <v>15</v>
      </c>
      <c r="E31" s="20" t="s">
        <v>330</v>
      </c>
      <c r="F31" s="35"/>
      <c r="G31" s="8"/>
      <c r="H31" s="102">
        <f>+SUM(H25:H29)</f>
        <v>938166580.10000002</v>
      </c>
      <c r="I31" s="32" t="s">
        <v>710</v>
      </c>
      <c r="J31" s="51"/>
      <c r="K31" s="32"/>
      <c r="L31" s="101">
        <f>+SUM(L25:L30)</f>
        <v>67522389.760994747</v>
      </c>
      <c r="M31" s="32"/>
      <c r="N31" s="42"/>
      <c r="O31" s="102">
        <f>+SUM(O25:O29)</f>
        <v>938166580.10000002</v>
      </c>
      <c r="P31" s="32" t="s">
        <v>710</v>
      </c>
      <c r="Q31" s="51"/>
      <c r="R31" s="32"/>
      <c r="S31" s="101">
        <f>+SUM(S25:S30)</f>
        <v>70235276.490741253</v>
      </c>
      <c r="T31" s="32"/>
      <c r="U31" s="32">
        <f>+S31-L31</f>
        <v>2712886.7297465056</v>
      </c>
      <c r="V31" s="41">
        <f>+IF(U31=0,0,(S31-L31)/L31)</f>
        <v>4.0177587602410997E-2</v>
      </c>
    </row>
    <row r="32" spans="1:22" x14ac:dyDescent="0.25">
      <c r="A32" s="59"/>
      <c r="B32" s="59"/>
      <c r="D32" s="57">
        <v>16</v>
      </c>
      <c r="E32" s="31"/>
      <c r="F32" s="35"/>
      <c r="G32" s="8"/>
      <c r="H32" s="32"/>
      <c r="I32" s="32"/>
      <c r="J32" s="51"/>
      <c r="K32" s="32"/>
      <c r="L32" s="32"/>
      <c r="M32" s="32"/>
      <c r="N32" s="42"/>
      <c r="O32" s="32"/>
      <c r="P32" s="32"/>
      <c r="Q32" s="51"/>
      <c r="R32" s="32"/>
      <c r="S32" s="32"/>
      <c r="T32" s="32"/>
      <c r="U32" s="32"/>
      <c r="V32" s="43"/>
    </row>
    <row r="33" spans="1:22" x14ac:dyDescent="0.25">
      <c r="A33" s="59"/>
      <c r="B33" s="59"/>
      <c r="D33" s="57">
        <v>17</v>
      </c>
      <c r="E33" s="31" t="s">
        <v>345</v>
      </c>
      <c r="F33" s="35"/>
      <c r="G33" s="8"/>
      <c r="H33" s="32"/>
      <c r="I33" s="32"/>
      <c r="J33" s="39"/>
      <c r="K33" s="32"/>
      <c r="L33" s="32"/>
      <c r="M33" s="32"/>
      <c r="N33" s="42"/>
      <c r="O33" s="32"/>
      <c r="P33" s="32"/>
      <c r="Q33" s="39"/>
      <c r="R33" s="32"/>
      <c r="S33" s="32"/>
      <c r="T33" s="32"/>
      <c r="U33" s="32"/>
      <c r="V33" s="43"/>
    </row>
    <row r="34" spans="1:22" x14ac:dyDescent="0.25">
      <c r="A34" s="59" t="s">
        <v>19</v>
      </c>
      <c r="B34" s="59" t="s">
        <v>490</v>
      </c>
      <c r="D34" s="57">
        <v>18</v>
      </c>
      <c r="E34" s="193" t="s">
        <v>327</v>
      </c>
      <c r="F34" s="8"/>
      <c r="G34" s="8"/>
      <c r="H34" s="33">
        <f>+INDEX('2025 Billing Determinants'!B:B,MATCH('2027 GS Rate Class E-13c'!A34,'2025 Billing Determinants'!A:A,0))</f>
        <v>278292.17</v>
      </c>
      <c r="I34" s="32" t="s">
        <v>710</v>
      </c>
      <c r="J34" s="48">
        <f>+INDEX('2026 Base Rates'!E:E,MATCH('2027 GS Rate Class E-13c'!B34,'2026 Base Rates'!D:D,0))</f>
        <v>2.7223893835999998E-3</v>
      </c>
      <c r="K34" s="32"/>
      <c r="L34" s="32">
        <f>+H34*J34</f>
        <v>757.61964914700627</v>
      </c>
      <c r="M34" s="32"/>
      <c r="N34" s="42"/>
      <c r="O34" s="32">
        <f>+INDEX('2025 Billing Determinants'!B:B,MATCH('2027 GS Rate Class E-13c'!A34,'2025 Billing Determinants'!A:A,0))</f>
        <v>278292.17</v>
      </c>
      <c r="P34" s="32" t="s">
        <v>710</v>
      </c>
      <c r="Q34" s="48">
        <f t="shared" ref="Q34:Q35" si="9">+J34*(1+$B$7)</f>
        <v>2.8317961283866114E-3</v>
      </c>
      <c r="R34" s="32"/>
      <c r="S34" s="32">
        <f>+O34*Q34</f>
        <v>788.06668956630858</v>
      </c>
      <c r="T34" s="32"/>
      <c r="U34" s="32">
        <f t="shared" ref="U34:U36" si="10">+S34-L34</f>
        <v>30.447040419302311</v>
      </c>
      <c r="V34" s="41">
        <f t="shared" ref="V34:V36" si="11">+IF(U34=0,0,(S34-L34)/L34)</f>
        <v>4.0187764999999966E-2</v>
      </c>
    </row>
    <row r="35" spans="1:22" x14ac:dyDescent="0.25">
      <c r="A35" s="59" t="s">
        <v>20</v>
      </c>
      <c r="B35" s="59" t="s">
        <v>491</v>
      </c>
      <c r="D35" s="57">
        <v>19</v>
      </c>
      <c r="E35" s="193" t="s">
        <v>340</v>
      </c>
      <c r="F35" s="8"/>
      <c r="G35" s="8"/>
      <c r="H35" s="33">
        <f>+INDEX('2025 Billing Determinants'!B:B,MATCH('2027 GS Rate Class E-13c'!A35,'2025 Billing Determinants'!A:A,0))</f>
        <v>0</v>
      </c>
      <c r="I35" s="32" t="s">
        <v>710</v>
      </c>
      <c r="J35" s="48">
        <f>+INDEX('2026 Base Rates'!E:E,MATCH('2027 GS Rate Class E-13c'!B35,'2026 Base Rates'!D:D,0))</f>
        <v>2.7223893835999998E-3</v>
      </c>
      <c r="K35" s="32"/>
      <c r="L35" s="100">
        <f>+H35*J35</f>
        <v>0</v>
      </c>
      <c r="M35" s="32"/>
      <c r="N35" s="42"/>
      <c r="O35" s="100">
        <f>+INDEX('2025 Billing Determinants'!B:B,MATCH('2027 GS Rate Class E-13c'!A35,'2025 Billing Determinants'!A:A,0))</f>
        <v>0</v>
      </c>
      <c r="P35" s="32" t="s">
        <v>710</v>
      </c>
      <c r="Q35" s="48">
        <f t="shared" si="9"/>
        <v>2.8317961283866114E-3</v>
      </c>
      <c r="R35" s="32"/>
      <c r="S35" s="100">
        <f>+O35*Q35</f>
        <v>0</v>
      </c>
      <c r="T35" s="32"/>
      <c r="U35" s="32">
        <f t="shared" si="10"/>
        <v>0</v>
      </c>
      <c r="V35" s="41">
        <f t="shared" si="11"/>
        <v>0</v>
      </c>
    </row>
    <row r="36" spans="1:22" x14ac:dyDescent="0.25">
      <c r="A36" s="59"/>
      <c r="B36" s="59"/>
      <c r="D36" s="57">
        <v>20</v>
      </c>
      <c r="E36" s="20" t="s">
        <v>330</v>
      </c>
      <c r="F36" s="8"/>
      <c r="G36" s="8"/>
      <c r="H36" s="102">
        <f>+SUM(H32:H35)</f>
        <v>278292.17</v>
      </c>
      <c r="I36" s="32" t="s">
        <v>710</v>
      </c>
      <c r="J36" s="8"/>
      <c r="K36" s="8"/>
      <c r="L36" s="100">
        <f>+SUM(L34:L35)</f>
        <v>757.61964914700627</v>
      </c>
      <c r="M36" s="8"/>
      <c r="N36" s="57"/>
      <c r="O36" s="33">
        <f>+SUM(O34:O35)</f>
        <v>278292.17</v>
      </c>
      <c r="P36" s="32" t="s">
        <v>710</v>
      </c>
      <c r="Q36" s="8"/>
      <c r="R36" s="8"/>
      <c r="S36" s="100">
        <f>+SUM(S34:S35)</f>
        <v>788.06668956630858</v>
      </c>
      <c r="T36" s="32"/>
      <c r="U36" s="32">
        <f t="shared" si="10"/>
        <v>30.447040419302311</v>
      </c>
      <c r="V36" s="41">
        <f t="shared" si="11"/>
        <v>4.0187764999999966E-2</v>
      </c>
    </row>
    <row r="37" spans="1:22" x14ac:dyDescent="0.25">
      <c r="A37" s="59"/>
      <c r="B37" s="59"/>
      <c r="D37" s="57">
        <v>21</v>
      </c>
      <c r="E37" s="8"/>
      <c r="F37" s="8"/>
      <c r="G37" s="8"/>
      <c r="H37" s="8"/>
      <c r="I37" s="8"/>
      <c r="J37" s="8"/>
      <c r="K37" s="8"/>
      <c r="L37" s="33"/>
      <c r="M37" s="8"/>
      <c r="N37" s="57"/>
      <c r="O37" s="8"/>
      <c r="P37" s="8"/>
      <c r="Q37" s="8"/>
      <c r="R37" s="8"/>
      <c r="S37" s="33"/>
      <c r="T37" s="8"/>
      <c r="U37" s="8"/>
      <c r="V37" s="43"/>
    </row>
    <row r="38" spans="1:22" x14ac:dyDescent="0.25">
      <c r="A38" s="59"/>
      <c r="B38" s="59"/>
      <c r="D38" s="57">
        <v>22</v>
      </c>
      <c r="E38" s="8" t="s">
        <v>1275</v>
      </c>
      <c r="F38" s="8"/>
      <c r="G38" s="8"/>
      <c r="H38" s="49">
        <f>AVERAGE('AMI Opt Out'!J2:J13)*365</f>
        <v>4321.6866521317825</v>
      </c>
      <c r="I38" s="8" t="s">
        <v>328</v>
      </c>
      <c r="J38" s="39">
        <v>0.67</v>
      </c>
      <c r="K38" s="8"/>
      <c r="L38" s="49">
        <f>+J38*H38</f>
        <v>2895.5300569282945</v>
      </c>
      <c r="M38" s="8"/>
      <c r="N38" s="57"/>
      <c r="O38" s="49">
        <f>+H38</f>
        <v>4321.6866521317825</v>
      </c>
      <c r="P38" s="8" t="s">
        <v>328</v>
      </c>
      <c r="Q38" s="39">
        <v>0.67</v>
      </c>
      <c r="R38" s="8"/>
      <c r="S38" s="49">
        <f>+Q38*O38</f>
        <v>2895.5300569282945</v>
      </c>
      <c r="T38" s="32"/>
      <c r="U38" s="32">
        <f t="shared" ref="U38:U39" si="12">+S38-L38</f>
        <v>0</v>
      </c>
      <c r="V38" s="41">
        <f t="shared" ref="V38:V39" si="13">+IF(U38=0,0,(S38-L38)/L38)</f>
        <v>0</v>
      </c>
    </row>
    <row r="39" spans="1:22" x14ac:dyDescent="0.25">
      <c r="A39" s="59"/>
      <c r="B39" s="59"/>
      <c r="D39" s="57">
        <v>23</v>
      </c>
      <c r="E39" s="35" t="s">
        <v>335</v>
      </c>
      <c r="F39" s="35"/>
      <c r="G39" s="8"/>
      <c r="H39" s="102">
        <f>+H38</f>
        <v>4321.6866521317825</v>
      </c>
      <c r="I39" s="76" t="s">
        <v>331</v>
      </c>
      <c r="J39" s="48"/>
      <c r="K39" s="32"/>
      <c r="L39" s="101">
        <f>+L38</f>
        <v>2895.5300569282945</v>
      </c>
      <c r="M39" s="32"/>
      <c r="N39" s="42"/>
      <c r="O39" s="102"/>
      <c r="P39" s="32" t="s">
        <v>331</v>
      </c>
      <c r="Q39" s="48"/>
      <c r="R39" s="32"/>
      <c r="S39" s="101">
        <f>+S38</f>
        <v>2895.5300569282945</v>
      </c>
      <c r="T39" s="32"/>
      <c r="U39" s="32">
        <f t="shared" si="12"/>
        <v>0</v>
      </c>
      <c r="V39" s="41">
        <f t="shared" si="13"/>
        <v>0</v>
      </c>
    </row>
    <row r="40" spans="1:22" x14ac:dyDescent="0.25">
      <c r="A40" s="59"/>
      <c r="B40" s="59"/>
      <c r="D40" s="57">
        <v>24</v>
      </c>
    </row>
    <row r="41" spans="1:22" ht="15.75" thickBot="1" x14ac:dyDescent="0.3">
      <c r="A41" s="59"/>
      <c r="B41" s="59"/>
      <c r="D41" s="57">
        <v>25</v>
      </c>
      <c r="E41" s="31" t="s">
        <v>336</v>
      </c>
      <c r="F41" s="8"/>
      <c r="G41" s="8"/>
      <c r="H41" s="8"/>
      <c r="I41" s="8"/>
      <c r="J41" s="8"/>
      <c r="K41" s="8"/>
      <c r="L41" s="103">
        <f>+L22+L31+L36+L39</f>
        <v>102188521.45576386</v>
      </c>
      <c r="M41" s="8"/>
      <c r="N41" s="57"/>
      <c r="O41" s="8"/>
      <c r="P41" s="8"/>
      <c r="Q41" s="8"/>
      <c r="R41" s="8"/>
      <c r="S41" s="103">
        <f>+S22+S31+S36+S39</f>
        <v>106294446.17463733</v>
      </c>
      <c r="T41" s="32"/>
      <c r="U41" s="32">
        <f t="shared" ref="U41" si="14">+S41-L41</f>
        <v>4105924.718873471</v>
      </c>
      <c r="V41" s="41">
        <f t="shared" ref="V41" si="15">+IF(U41=0,0,(S41-L41)/L41)</f>
        <v>4.0179901425140739E-2</v>
      </c>
    </row>
    <row r="42" spans="1:22" ht="15.75" thickTop="1" x14ac:dyDescent="0.25">
      <c r="A42" s="59"/>
      <c r="B42" s="59"/>
      <c r="D42" s="57">
        <v>26</v>
      </c>
      <c r="E42" s="30"/>
      <c r="F42" s="35"/>
      <c r="G42" s="8"/>
      <c r="H42" s="8"/>
      <c r="I42" s="32"/>
      <c r="J42" s="32"/>
      <c r="K42" s="32"/>
      <c r="L42" s="32"/>
      <c r="M42" s="32"/>
      <c r="N42" s="42"/>
      <c r="O42" s="32"/>
      <c r="P42" s="32"/>
      <c r="Q42" s="32"/>
      <c r="R42" s="32"/>
      <c r="S42" s="32"/>
      <c r="T42" s="32"/>
      <c r="U42" s="32"/>
      <c r="V42" s="32"/>
    </row>
    <row r="43" spans="1:22" x14ac:dyDescent="0.25">
      <c r="A43" s="59"/>
      <c r="B43" s="59"/>
      <c r="D43" s="57">
        <v>27</v>
      </c>
      <c r="E43" s="30"/>
      <c r="F43" s="35"/>
      <c r="G43" s="8"/>
      <c r="H43" s="8"/>
      <c r="I43" s="32"/>
      <c r="J43" s="32"/>
      <c r="K43" s="32"/>
      <c r="L43" s="32"/>
      <c r="M43" s="32"/>
      <c r="N43" s="42"/>
      <c r="O43" s="32"/>
      <c r="P43" s="32"/>
      <c r="Q43" s="32"/>
      <c r="R43" s="32"/>
      <c r="S43" s="32"/>
      <c r="T43" s="32"/>
      <c r="U43" s="32"/>
      <c r="V43" s="32"/>
    </row>
    <row r="44" spans="1:22" x14ac:dyDescent="0.25">
      <c r="A44" s="59"/>
      <c r="B44" s="59"/>
      <c r="D44" s="57">
        <v>28</v>
      </c>
      <c r="E44" s="30"/>
      <c r="F44" s="35" t="s">
        <v>1262</v>
      </c>
      <c r="G44" s="8"/>
      <c r="H44" s="8"/>
      <c r="I44" s="32"/>
      <c r="J44" s="32"/>
      <c r="K44" s="32"/>
      <c r="L44" s="32"/>
      <c r="M44" s="32"/>
      <c r="N44" s="42"/>
      <c r="O44" s="32"/>
      <c r="P44" s="32"/>
      <c r="Q44" s="32"/>
      <c r="R44" s="32"/>
      <c r="S44" s="32"/>
      <c r="T44" s="32"/>
      <c r="U44" s="32"/>
      <c r="V44" s="32"/>
    </row>
    <row r="45" spans="1:22" x14ac:dyDescent="0.25">
      <c r="A45" s="59"/>
      <c r="B45" s="59"/>
      <c r="D45" s="57">
        <v>29</v>
      </c>
      <c r="E45" s="30"/>
      <c r="F45" s="35"/>
      <c r="G45" s="8"/>
      <c r="H45" s="8"/>
      <c r="I45" s="32"/>
      <c r="J45" s="32"/>
      <c r="K45" s="32"/>
      <c r="L45" s="32"/>
      <c r="M45" s="32"/>
      <c r="N45" s="42"/>
      <c r="O45" s="32"/>
      <c r="P45" s="32"/>
      <c r="Q45" s="32"/>
      <c r="R45" s="32"/>
      <c r="S45" s="32"/>
      <c r="T45" s="32"/>
      <c r="U45" s="32"/>
      <c r="V45" s="32"/>
    </row>
    <row r="46" spans="1:22" x14ac:dyDescent="0.25">
      <c r="A46" s="59"/>
      <c r="B46" s="59"/>
      <c r="D46" s="57">
        <v>30</v>
      </c>
      <c r="E46" s="8"/>
      <c r="F46" s="35"/>
      <c r="G46" s="8"/>
      <c r="H46" s="8"/>
      <c r="I46" s="32"/>
      <c r="J46" s="32"/>
      <c r="K46" s="32"/>
      <c r="L46" s="32"/>
      <c r="M46" s="32"/>
      <c r="N46" s="42"/>
      <c r="O46" s="32"/>
      <c r="P46" s="32"/>
      <c r="Q46" s="32"/>
      <c r="R46" s="32"/>
      <c r="S46" s="32"/>
      <c r="T46" s="32"/>
      <c r="U46" s="32"/>
      <c r="V46" s="32"/>
    </row>
    <row r="47" spans="1:22" x14ac:dyDescent="0.25">
      <c r="A47" s="59"/>
      <c r="B47" s="59"/>
      <c r="D47" s="57">
        <v>31</v>
      </c>
      <c r="E47" s="30"/>
      <c r="F47" s="35"/>
      <c r="G47" s="8"/>
      <c r="H47" s="8"/>
      <c r="I47" s="32"/>
      <c r="J47" s="32"/>
      <c r="K47" s="32"/>
      <c r="L47" s="32"/>
      <c r="M47" s="32"/>
      <c r="N47" s="42"/>
      <c r="O47" s="32"/>
      <c r="P47" s="32"/>
      <c r="Q47" s="32"/>
      <c r="R47" s="32"/>
      <c r="S47" s="32"/>
      <c r="T47" s="32"/>
      <c r="U47" s="32"/>
      <c r="V47" s="32"/>
    </row>
    <row r="48" spans="1:22" x14ac:dyDescent="0.25">
      <c r="A48" s="59"/>
      <c r="B48" s="59"/>
      <c r="D48" s="57">
        <v>32</v>
      </c>
      <c r="E48" s="194"/>
      <c r="F48" s="35"/>
      <c r="G48" s="8"/>
      <c r="H48" s="8"/>
      <c r="I48" s="32"/>
      <c r="J48" s="32"/>
      <c r="K48" s="32"/>
      <c r="L48" s="32"/>
      <c r="M48" s="32"/>
      <c r="N48" s="42"/>
      <c r="O48" s="32"/>
      <c r="P48" s="32"/>
      <c r="Q48" s="32"/>
      <c r="R48" s="32"/>
      <c r="S48" s="32"/>
      <c r="T48" s="32"/>
      <c r="U48" s="32"/>
      <c r="V48" s="32"/>
    </row>
    <row r="49" spans="1:22" x14ac:dyDescent="0.25">
      <c r="A49" s="59"/>
      <c r="B49" s="59"/>
      <c r="D49" s="57">
        <v>33</v>
      </c>
      <c r="E49" s="30"/>
      <c r="F49" s="35"/>
      <c r="G49" s="8"/>
      <c r="H49" s="8"/>
      <c r="I49" s="32"/>
      <c r="J49" s="32"/>
      <c r="K49" s="32"/>
      <c r="L49" s="32"/>
      <c r="M49" s="32"/>
      <c r="N49" s="42"/>
      <c r="O49" s="32"/>
      <c r="P49" s="32"/>
      <c r="Q49" s="32"/>
      <c r="R49" s="32"/>
      <c r="S49" s="32"/>
      <c r="T49" s="32"/>
      <c r="U49" s="32"/>
      <c r="V49" s="32"/>
    </row>
    <row r="50" spans="1:22" x14ac:dyDescent="0.25">
      <c r="A50" s="59"/>
      <c r="B50" s="59"/>
      <c r="D50" s="57">
        <v>34</v>
      </c>
      <c r="E50" s="30"/>
      <c r="F50" s="35"/>
      <c r="G50" s="8"/>
      <c r="H50" s="8"/>
      <c r="I50" s="32"/>
      <c r="J50" s="32"/>
      <c r="K50" s="32"/>
      <c r="L50" s="32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1:22" x14ac:dyDescent="0.25">
      <c r="A51" s="59"/>
      <c r="B51" s="59"/>
      <c r="D51" s="57">
        <v>35</v>
      </c>
      <c r="E51" s="30"/>
      <c r="F51" s="35"/>
      <c r="G51" s="8"/>
      <c r="H51" s="8"/>
      <c r="I51" s="32"/>
      <c r="J51" s="32"/>
      <c r="K51" s="32"/>
      <c r="L51" s="32"/>
      <c r="M51" s="32"/>
      <c r="N51" s="42"/>
      <c r="O51" s="32"/>
      <c r="P51" s="32"/>
      <c r="Q51" s="32"/>
      <c r="R51" s="32"/>
      <c r="S51" s="32"/>
      <c r="T51" s="32"/>
      <c r="U51" s="32"/>
      <c r="V51" s="32"/>
    </row>
    <row r="52" spans="1:22" x14ac:dyDescent="0.25">
      <c r="A52" s="59"/>
      <c r="B52" s="59"/>
      <c r="D52" s="57">
        <v>36</v>
      </c>
      <c r="E52" s="30"/>
      <c r="F52" s="35"/>
      <c r="G52" s="8"/>
      <c r="H52" s="8"/>
      <c r="I52" s="32"/>
      <c r="J52" s="32"/>
      <c r="K52" s="32"/>
      <c r="L52" s="32"/>
      <c r="M52" s="32"/>
      <c r="N52" s="42"/>
      <c r="O52" s="32"/>
      <c r="P52" s="32"/>
      <c r="Q52" s="32"/>
      <c r="R52" s="32"/>
      <c r="S52" s="32"/>
      <c r="T52" s="32"/>
      <c r="U52" s="32"/>
      <c r="V52" s="32"/>
    </row>
    <row r="53" spans="1:22" x14ac:dyDescent="0.25">
      <c r="A53" s="59"/>
      <c r="B53" s="59"/>
      <c r="D53" s="57">
        <v>37</v>
      </c>
      <c r="E53" s="30"/>
      <c r="F53" s="35"/>
      <c r="G53" s="8"/>
      <c r="H53" s="8"/>
      <c r="I53" s="32"/>
      <c r="J53" s="32"/>
      <c r="K53" s="32"/>
      <c r="L53" s="32"/>
      <c r="M53" s="32"/>
      <c r="N53" s="42"/>
      <c r="O53" s="32"/>
      <c r="P53" s="32"/>
      <c r="Q53" s="32"/>
      <c r="R53" s="32"/>
      <c r="S53" s="32"/>
      <c r="T53" s="32"/>
      <c r="U53" s="32"/>
      <c r="V53" s="32"/>
    </row>
    <row r="54" spans="1:22" x14ac:dyDescent="0.25">
      <c r="A54" s="59"/>
      <c r="B54" s="59"/>
      <c r="D54" s="57">
        <v>38</v>
      </c>
      <c r="E54" s="30"/>
      <c r="F54" s="35"/>
      <c r="G54" s="8"/>
      <c r="H54" s="8"/>
      <c r="I54" s="32"/>
      <c r="J54" s="32"/>
      <c r="K54" s="32"/>
      <c r="L54" s="32"/>
      <c r="M54" s="32"/>
      <c r="N54" s="42"/>
      <c r="O54" s="32"/>
      <c r="P54" s="32"/>
      <c r="Q54" s="32"/>
      <c r="R54" s="32"/>
      <c r="S54" s="32"/>
      <c r="T54" s="32"/>
      <c r="U54" s="32"/>
      <c r="V54" s="32"/>
    </row>
    <row r="55" spans="1:22" ht="15.75" thickBot="1" x14ac:dyDescent="0.3">
      <c r="A55" s="59"/>
      <c r="B55" s="59"/>
      <c r="D55" s="58">
        <v>39</v>
      </c>
      <c r="E55" s="9"/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1:22" x14ac:dyDescent="0.25">
      <c r="A56" s="59"/>
      <c r="B56" s="59"/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304</v>
      </c>
    </row>
    <row r="57" spans="1:22" x14ac:dyDescent="0.25">
      <c r="A57" s="59"/>
      <c r="B57" s="59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15.75" thickBot="1" x14ac:dyDescent="0.3">
      <c r="A58" s="59"/>
      <c r="B58" s="59"/>
      <c r="D58" s="9" t="s">
        <v>305</v>
      </c>
      <c r="E58" s="9"/>
      <c r="F58" s="9"/>
      <c r="G58" s="9"/>
      <c r="H58" s="9"/>
      <c r="I58" s="9"/>
      <c r="J58" s="9"/>
      <c r="K58" s="379" t="s">
        <v>306</v>
      </c>
      <c r="L58" s="379"/>
      <c r="M58" s="379"/>
      <c r="N58" s="379"/>
      <c r="O58" s="379"/>
      <c r="P58" s="9"/>
      <c r="Q58" s="9"/>
      <c r="R58" s="9"/>
      <c r="S58" s="9"/>
      <c r="T58" s="9"/>
      <c r="U58" s="9"/>
      <c r="V58" s="13" t="s">
        <v>875</v>
      </c>
    </row>
    <row r="59" spans="1:22" x14ac:dyDescent="0.25">
      <c r="A59" s="59"/>
      <c r="B59" s="59"/>
      <c r="D59" s="8" t="s">
        <v>307</v>
      </c>
      <c r="E59" s="8"/>
      <c r="F59" s="8"/>
      <c r="G59" s="8"/>
      <c r="H59" s="8" t="s">
        <v>308</v>
      </c>
      <c r="I59" s="8" t="s">
        <v>910</v>
      </c>
      <c r="K59" s="8"/>
      <c r="L59" s="8"/>
      <c r="M59" s="8"/>
      <c r="N59" s="98"/>
      <c r="O59" s="99"/>
      <c r="P59" s="8"/>
      <c r="R59" s="99"/>
      <c r="S59" s="99" t="s">
        <v>309</v>
      </c>
      <c r="T59" s="8"/>
      <c r="U59" s="8"/>
      <c r="V59" s="10"/>
    </row>
    <row r="60" spans="1:22" x14ac:dyDescent="0.25">
      <c r="A60" s="59"/>
      <c r="B60" s="59"/>
      <c r="D60" s="8"/>
      <c r="E60" s="8"/>
      <c r="F60" s="8"/>
      <c r="G60" s="8"/>
      <c r="H60" s="8"/>
      <c r="I60" s="8" t="s">
        <v>911</v>
      </c>
      <c r="K60" s="8"/>
      <c r="L60" s="8"/>
      <c r="M60" s="8"/>
      <c r="N60" s="57"/>
      <c r="O60" s="10"/>
      <c r="P60" s="8"/>
      <c r="R60" s="11"/>
      <c r="S60" s="117" t="s">
        <v>916</v>
      </c>
      <c r="T60" s="116" t="s">
        <v>1512</v>
      </c>
      <c r="U60" s="8"/>
      <c r="V60" s="11"/>
    </row>
    <row r="61" spans="1:22" x14ac:dyDescent="0.25">
      <c r="A61" s="59"/>
      <c r="B61" s="59"/>
      <c r="D61" s="8" t="s">
        <v>310</v>
      </c>
      <c r="E61" s="8"/>
      <c r="F61" s="8"/>
      <c r="G61" s="8"/>
      <c r="H61" s="8"/>
      <c r="I61" s="8" t="s">
        <v>912</v>
      </c>
      <c r="J61" s="8"/>
      <c r="K61" s="8"/>
      <c r="L61" s="8"/>
      <c r="M61" s="8"/>
      <c r="N61" s="57"/>
      <c r="O61" s="10"/>
      <c r="P61" s="11"/>
      <c r="Q61" s="8"/>
      <c r="R61" s="8"/>
      <c r="S61" s="265"/>
      <c r="T61" s="116"/>
      <c r="U61" s="8"/>
      <c r="V61" s="11"/>
    </row>
    <row r="62" spans="1:22" x14ac:dyDescent="0.25">
      <c r="A62" s="59"/>
      <c r="B62" s="59"/>
      <c r="D62" s="8"/>
      <c r="E62" s="8"/>
      <c r="F62" s="8"/>
      <c r="G62" s="8"/>
      <c r="H62" s="8"/>
      <c r="I62" s="8" t="s">
        <v>913</v>
      </c>
      <c r="J62" s="8"/>
      <c r="K62" s="8"/>
      <c r="L62" s="8"/>
      <c r="M62" s="8"/>
      <c r="N62" s="57"/>
      <c r="O62" s="10"/>
      <c r="P62" s="11"/>
      <c r="Q62" s="8"/>
      <c r="R62" s="8"/>
      <c r="S62" s="265"/>
      <c r="T62" s="116"/>
      <c r="U62" s="8"/>
      <c r="V62" s="11"/>
    </row>
    <row r="63" spans="1:22" x14ac:dyDescent="0.25">
      <c r="A63" s="59"/>
      <c r="B63" s="59"/>
      <c r="D63" s="8"/>
      <c r="E63" s="8"/>
      <c r="F63" s="11"/>
      <c r="G63" s="8"/>
      <c r="H63" s="8"/>
      <c r="I63" s="8" t="s">
        <v>914</v>
      </c>
      <c r="J63" s="8"/>
      <c r="K63" s="12"/>
      <c r="L63" s="12"/>
      <c r="M63" s="12"/>
      <c r="N63" s="57"/>
      <c r="O63" s="8"/>
      <c r="P63" s="8"/>
      <c r="Q63" s="8"/>
      <c r="R63" s="8"/>
      <c r="S63" s="265"/>
      <c r="U63" s="8"/>
      <c r="V63" s="8"/>
    </row>
    <row r="64" spans="1:22" ht="15.75" thickBot="1" x14ac:dyDescent="0.3">
      <c r="A64" s="59"/>
      <c r="B64" s="59"/>
      <c r="D64" s="9" t="s">
        <v>1292</v>
      </c>
      <c r="E64" s="9"/>
      <c r="F64" s="13"/>
      <c r="G64" s="14"/>
      <c r="H64" s="14"/>
      <c r="I64" s="15" t="s">
        <v>915</v>
      </c>
      <c r="J64" s="15"/>
      <c r="K64" s="14"/>
      <c r="L64" s="14"/>
      <c r="M64" s="14"/>
      <c r="N64" s="14"/>
      <c r="O64" s="14"/>
      <c r="P64" s="14"/>
      <c r="Q64" s="15"/>
      <c r="R64" s="14"/>
      <c r="S64" s="14"/>
      <c r="T64" s="114" t="s">
        <v>1519</v>
      </c>
      <c r="U64" s="14"/>
      <c r="V64" s="14"/>
    </row>
    <row r="65" spans="1:22" x14ac:dyDescent="0.25">
      <c r="A65" s="59"/>
      <c r="B65" s="59"/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12"/>
      <c r="R65" s="8"/>
      <c r="S65" s="8"/>
      <c r="T65" s="8"/>
      <c r="U65" s="8"/>
      <c r="V65" s="8"/>
    </row>
    <row r="66" spans="1:22" x14ac:dyDescent="0.25">
      <c r="A66" s="59"/>
      <c r="B66" s="59"/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25">
      <c r="A67" s="59"/>
      <c r="B67" s="59"/>
      <c r="D67" s="8"/>
      <c r="E67" s="8"/>
      <c r="F67" s="8"/>
      <c r="G67" s="8"/>
      <c r="H67" s="8"/>
      <c r="I67" s="16"/>
      <c r="J67" s="16"/>
      <c r="K67" s="17"/>
      <c r="L67" s="17" t="s">
        <v>311</v>
      </c>
      <c r="M67" s="12"/>
      <c r="N67" s="195" t="s">
        <v>359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25">
      <c r="A68" s="59"/>
      <c r="B68" s="59"/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A69" s="59"/>
      <c r="B69" s="59"/>
      <c r="D69" s="57" t="s">
        <v>313</v>
      </c>
      <c r="E69" s="196" t="s">
        <v>314</v>
      </c>
      <c r="F69" s="20"/>
      <c r="G69" s="21"/>
      <c r="H69" s="22"/>
      <c r="I69" s="22"/>
      <c r="J69" s="23" t="s">
        <v>315</v>
      </c>
      <c r="K69" s="22"/>
      <c r="L69" s="22"/>
      <c r="M69" s="20"/>
      <c r="N69" s="24"/>
      <c r="O69" s="22"/>
      <c r="P69" s="23"/>
      <c r="Q69" s="23" t="s">
        <v>316</v>
      </c>
      <c r="R69" s="22"/>
      <c r="S69" s="22"/>
      <c r="T69" s="20"/>
      <c r="U69" s="25" t="s">
        <v>317</v>
      </c>
      <c r="V69" s="25" t="s">
        <v>318</v>
      </c>
    </row>
    <row r="70" spans="1:22" ht="15.75" thickBot="1" x14ac:dyDescent="0.3">
      <c r="A70" s="85" t="s">
        <v>551</v>
      </c>
      <c r="B70" s="85" t="s">
        <v>552</v>
      </c>
      <c r="D70" s="58" t="s">
        <v>319</v>
      </c>
      <c r="E70" s="192" t="s">
        <v>320</v>
      </c>
      <c r="F70" s="27"/>
      <c r="G70" s="9"/>
      <c r="H70" s="58" t="s">
        <v>321</v>
      </c>
      <c r="I70" s="28"/>
      <c r="J70" s="28" t="s">
        <v>322</v>
      </c>
      <c r="K70" s="28"/>
      <c r="L70" s="28" t="s">
        <v>323</v>
      </c>
      <c r="M70" s="28"/>
      <c r="N70" s="28"/>
      <c r="O70" s="28" t="s">
        <v>321</v>
      </c>
      <c r="P70" s="28"/>
      <c r="Q70" s="28" t="s">
        <v>322</v>
      </c>
      <c r="R70" s="28"/>
      <c r="S70" s="28" t="s">
        <v>323</v>
      </c>
      <c r="T70" s="27"/>
      <c r="U70" s="29" t="s">
        <v>324</v>
      </c>
      <c r="V70" s="29" t="s">
        <v>325</v>
      </c>
    </row>
    <row r="71" spans="1:22" x14ac:dyDescent="0.25">
      <c r="A71" s="59"/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25">
      <c r="A72" s="59"/>
      <c r="B72" s="59"/>
      <c r="D72" s="57">
        <v>2</v>
      </c>
      <c r="E72" s="31" t="s">
        <v>326</v>
      </c>
      <c r="F72" s="8"/>
      <c r="G72" s="8"/>
      <c r="H72" s="8"/>
      <c r="I72" s="8"/>
      <c r="J72" s="8"/>
      <c r="K72" s="8"/>
      <c r="L72" s="70"/>
      <c r="M72" s="8"/>
      <c r="N72" s="57"/>
      <c r="O72" s="8"/>
      <c r="P72" s="8"/>
      <c r="Q72" s="8"/>
      <c r="R72" s="8"/>
      <c r="S72" s="8"/>
      <c r="T72" s="32"/>
      <c r="U72" s="32"/>
      <c r="V72" s="32"/>
    </row>
    <row r="73" spans="1:22" x14ac:dyDescent="0.25">
      <c r="A73" s="59" t="s">
        <v>9</v>
      </c>
      <c r="B73" s="59" t="s">
        <v>539</v>
      </c>
      <c r="D73" s="57">
        <v>3</v>
      </c>
      <c r="E73" s="8"/>
      <c r="F73" s="8"/>
      <c r="G73" s="8"/>
      <c r="H73" s="100">
        <f>+INDEX('2025 Billing Determinants'!B:B,MATCH('2027 GS Rate Class E-13c'!A73,'2025 Billing Determinants'!A:A,0))</f>
        <v>1477390</v>
      </c>
      <c r="I73" s="8" t="s">
        <v>328</v>
      </c>
      <c r="J73" s="39">
        <f>+INDEX('2026 Base Rates'!E:E,MATCH('2027 GS Rate Class E-13c'!B73,'2026 Base Rates'!D:D,0))</f>
        <v>1.3453052596000001</v>
      </c>
      <c r="K73" s="32"/>
      <c r="L73" s="32">
        <f>+H73*J73</f>
        <v>1987540.5374804442</v>
      </c>
      <c r="M73" s="33"/>
      <c r="N73" s="42"/>
      <c r="O73" s="100">
        <f>+INDEX('2025 Billing Determinants'!B:B,MATCH('2027 GS Rate Class E-13c'!A73,'2025 Billing Determinants'!A:A,0))</f>
        <v>1477390</v>
      </c>
      <c r="P73" s="8" t="s">
        <v>328</v>
      </c>
      <c r="Q73" s="39">
        <f t="shared" ref="Q73" si="16">+J73*(1+$B$7)</f>
        <v>1.3993700712260688</v>
      </c>
      <c r="R73" s="8"/>
      <c r="S73" s="32">
        <f>+O73*Q73</f>
        <v>2067415.3495286817</v>
      </c>
      <c r="T73" s="32"/>
      <c r="U73" s="32">
        <f>+S73-L73</f>
        <v>79874.812048237538</v>
      </c>
      <c r="V73" s="41">
        <f>+IF(U73=0,0,(S73-L73)/L73)</f>
        <v>4.0187764999999875E-2</v>
      </c>
    </row>
    <row r="74" spans="1:22" x14ac:dyDescent="0.25">
      <c r="A74" s="59"/>
      <c r="B74" s="59"/>
      <c r="D74" s="57">
        <v>4</v>
      </c>
      <c r="E74" s="8" t="s">
        <v>335</v>
      </c>
      <c r="F74" s="8"/>
      <c r="G74" s="8"/>
      <c r="H74" s="33">
        <f>+SUM(H73)</f>
        <v>1477390</v>
      </c>
      <c r="I74" s="8" t="s">
        <v>341</v>
      </c>
      <c r="J74" s="8"/>
      <c r="K74" s="8"/>
      <c r="L74" s="101">
        <f>+SUM(L73)</f>
        <v>1987540.5374804442</v>
      </c>
      <c r="M74" s="8"/>
      <c r="N74" s="57"/>
      <c r="O74" s="33">
        <f>+SUM(O73)</f>
        <v>1477390</v>
      </c>
      <c r="P74" s="8" t="s">
        <v>341</v>
      </c>
      <c r="Q74" s="8"/>
      <c r="R74" s="8"/>
      <c r="S74" s="101">
        <f>+SUM(S73)</f>
        <v>2067415.3495286817</v>
      </c>
      <c r="T74" s="32"/>
      <c r="U74" s="32">
        <f>+S74-L74</f>
        <v>79874.812048237538</v>
      </c>
      <c r="V74" s="41">
        <f>+IF(U74=0,0,(S74-L74)/L74)</f>
        <v>4.0187764999999875E-2</v>
      </c>
    </row>
    <row r="75" spans="1:22" x14ac:dyDescent="0.25">
      <c r="A75" s="59"/>
      <c r="B75" s="59"/>
      <c r="D75" s="57">
        <v>5</v>
      </c>
      <c r="E75" s="8"/>
      <c r="F75" s="8"/>
      <c r="G75" s="8"/>
      <c r="H75" s="33"/>
      <c r="I75" s="8"/>
      <c r="J75" s="8"/>
      <c r="K75" s="8"/>
      <c r="L75" s="33"/>
      <c r="M75" s="8"/>
      <c r="N75" s="57"/>
      <c r="O75" s="33"/>
      <c r="P75" s="8"/>
      <c r="Q75" s="8"/>
      <c r="R75" s="8"/>
      <c r="S75" s="33"/>
      <c r="T75" s="32"/>
      <c r="U75" s="32"/>
      <c r="V75" s="32"/>
    </row>
    <row r="76" spans="1:22" x14ac:dyDescent="0.25">
      <c r="A76" s="59"/>
      <c r="B76" s="59"/>
      <c r="D76" s="57">
        <v>6</v>
      </c>
      <c r="E76" s="31" t="s">
        <v>342</v>
      </c>
      <c r="F76" s="31"/>
      <c r="G76" s="8"/>
      <c r="H76" s="33"/>
      <c r="I76" s="32"/>
      <c r="J76" s="8"/>
      <c r="K76" s="8"/>
      <c r="L76" s="33"/>
      <c r="M76" s="8"/>
      <c r="N76" s="57"/>
      <c r="O76" s="33"/>
      <c r="P76" s="32"/>
      <c r="Q76" s="8"/>
      <c r="R76" s="8"/>
      <c r="S76" s="33"/>
      <c r="T76" s="32"/>
      <c r="U76" s="32"/>
      <c r="V76" s="43"/>
    </row>
    <row r="77" spans="1:22" x14ac:dyDescent="0.25">
      <c r="A77" s="59" t="s">
        <v>10</v>
      </c>
      <c r="B77" s="59" t="s">
        <v>492</v>
      </c>
      <c r="D77" s="57">
        <v>7</v>
      </c>
      <c r="E77" s="8"/>
      <c r="F77" s="31"/>
      <c r="G77" s="8"/>
      <c r="H77" s="100">
        <f>+INDEX('2025 Billing Determinants'!B:B,MATCH('2027 GS Rate Class E-13c'!A77,'2025 Billing Determinants'!A:A,0))</f>
        <v>12769320</v>
      </c>
      <c r="I77" s="32" t="s">
        <v>710</v>
      </c>
      <c r="J77" s="48">
        <f>+INDEX('2026 Base Rates'!E:E,MATCH('2027 GS Rate Class E-13c'!B77,'2026 Base Rates'!D:D,0))</f>
        <v>7.2100512585157872E-2</v>
      </c>
      <c r="K77" s="32"/>
      <c r="L77" s="32">
        <f>+H77*J77</f>
        <v>920674.51736390812</v>
      </c>
      <c r="M77" s="33"/>
      <c r="N77" s="42"/>
      <c r="O77" s="100">
        <f>+INDEX('2025 Billing Determinants'!B:B,MATCH('2027 GS Rate Class E-13c'!A77,'2025 Billing Determinants'!A:A,0))</f>
        <v>12769320</v>
      </c>
      <c r="P77" s="32" t="s">
        <v>710</v>
      </c>
      <c r="Q77" s="48">
        <f t="shared" ref="Q77" si="17">+J77*(1+$B$7)</f>
        <v>7.4998071041309733E-2</v>
      </c>
      <c r="R77" s="32"/>
      <c r="S77" s="32">
        <f>+O77*Q77</f>
        <v>957674.36850921717</v>
      </c>
      <c r="T77" s="32"/>
      <c r="U77" s="32">
        <f>+S77-L77</f>
        <v>36999.851145309047</v>
      </c>
      <c r="V77" s="41">
        <f>+IF(U77=0,0,(S77-L77)/L77)</f>
        <v>4.0187764999999875E-2</v>
      </c>
    </row>
    <row r="78" spans="1:22" x14ac:dyDescent="0.25">
      <c r="A78" s="59"/>
      <c r="B78" s="59"/>
      <c r="D78" s="57">
        <v>8</v>
      </c>
      <c r="E78" s="8" t="s">
        <v>335</v>
      </c>
      <c r="F78" s="8"/>
      <c r="G78" s="8"/>
      <c r="H78" s="33">
        <f>+SUM(H77)</f>
        <v>12769320</v>
      </c>
      <c r="I78" s="32" t="s">
        <v>710</v>
      </c>
      <c r="J78" s="8"/>
      <c r="K78" s="8"/>
      <c r="L78" s="101">
        <f>+SUM(L77)</f>
        <v>920674.51736390812</v>
      </c>
      <c r="M78" s="8"/>
      <c r="N78" s="57"/>
      <c r="O78" s="33">
        <f>+SUM(O77)</f>
        <v>12769320</v>
      </c>
      <c r="P78" s="32" t="s">
        <v>710</v>
      </c>
      <c r="Q78" s="8"/>
      <c r="R78" s="8"/>
      <c r="S78" s="101">
        <f>+SUM(S77)</f>
        <v>957674.36850921717</v>
      </c>
      <c r="T78" s="32"/>
      <c r="U78" s="32">
        <f>+S78-L78</f>
        <v>36999.851145309047</v>
      </c>
      <c r="V78" s="41">
        <f>+IF(U78=0,0,(S78-L78)/L78)</f>
        <v>4.0187764999999875E-2</v>
      </c>
    </row>
    <row r="79" spans="1:22" x14ac:dyDescent="0.25">
      <c r="A79" s="59"/>
      <c r="B79" s="59"/>
      <c r="D79" s="57">
        <v>9</v>
      </c>
      <c r="E79" s="8"/>
      <c r="F79" s="8"/>
      <c r="G79" s="8"/>
      <c r="H79" s="8"/>
      <c r="I79" s="8"/>
      <c r="J79" s="8"/>
      <c r="K79" s="8"/>
      <c r="L79" s="33"/>
      <c r="M79" s="8"/>
      <c r="N79" s="57"/>
      <c r="O79" s="8"/>
      <c r="P79" s="8"/>
      <c r="Q79" s="8"/>
      <c r="R79" s="8"/>
      <c r="S79" s="33"/>
      <c r="T79" s="8"/>
      <c r="U79" s="8"/>
      <c r="V79" s="197"/>
    </row>
    <row r="80" spans="1:22" x14ac:dyDescent="0.25">
      <c r="A80" s="59"/>
      <c r="B80" s="59"/>
      <c r="D80" s="57">
        <v>10</v>
      </c>
      <c r="E80" s="8"/>
      <c r="F80" s="8"/>
      <c r="G80" s="8"/>
      <c r="H80" s="8"/>
      <c r="I80" s="8"/>
      <c r="J80" s="8"/>
      <c r="K80" s="8"/>
      <c r="L80" s="33"/>
      <c r="M80" s="8"/>
      <c r="N80" s="57"/>
      <c r="O80" s="8"/>
      <c r="P80" s="8"/>
      <c r="Q80" s="8"/>
      <c r="R80" s="8"/>
      <c r="S80" s="33"/>
      <c r="T80" s="8"/>
      <c r="U80" s="8"/>
      <c r="V80" s="197"/>
    </row>
    <row r="81" spans="1:22" x14ac:dyDescent="0.25">
      <c r="A81" s="59"/>
      <c r="B81" s="59"/>
      <c r="D81" s="57">
        <v>11</v>
      </c>
      <c r="E81" s="8"/>
      <c r="F81" s="8"/>
      <c r="G81" s="8"/>
      <c r="H81" s="8"/>
      <c r="I81" s="8"/>
      <c r="J81" s="8"/>
      <c r="K81" s="8"/>
      <c r="L81" s="8"/>
      <c r="M81" s="8"/>
      <c r="N81" s="57"/>
      <c r="O81" s="8"/>
      <c r="P81" s="8"/>
      <c r="Q81" s="8"/>
      <c r="R81" s="8"/>
      <c r="S81" s="8"/>
      <c r="T81" s="8"/>
      <c r="U81" s="8"/>
      <c r="V81" s="8"/>
    </row>
    <row r="82" spans="1:22" ht="15.75" thickBot="1" x14ac:dyDescent="0.3">
      <c r="A82" s="59"/>
      <c r="B82" s="59"/>
      <c r="D82" s="57">
        <v>12</v>
      </c>
      <c r="E82" s="31" t="s">
        <v>336</v>
      </c>
      <c r="F82" s="31"/>
      <c r="G82" s="8"/>
      <c r="H82" s="8"/>
      <c r="I82" s="32"/>
      <c r="J82" s="32"/>
      <c r="K82" s="32"/>
      <c r="L82" s="103">
        <f>+L74+L78</f>
        <v>2908215.0548443524</v>
      </c>
      <c r="M82" s="32"/>
      <c r="N82" s="42"/>
      <c r="O82" s="32"/>
      <c r="P82" s="32"/>
      <c r="Q82" s="32"/>
      <c r="R82" s="32"/>
      <c r="S82" s="103">
        <f>+S74+S78</f>
        <v>3025089.7180378987</v>
      </c>
      <c r="T82" s="32"/>
      <c r="U82" s="32">
        <f>+S82-L82</f>
        <v>116874.66319354624</v>
      </c>
      <c r="V82" s="41">
        <f>+IF(U82=0,0,(S82-L82)/L82)</f>
        <v>4.0187764999999757E-2</v>
      </c>
    </row>
    <row r="83" spans="1:22" ht="15.75" thickTop="1" x14ac:dyDescent="0.25">
      <c r="A83" s="59"/>
      <c r="B83" s="59"/>
      <c r="D83" s="57">
        <v>13</v>
      </c>
      <c r="E83" s="35"/>
      <c r="F83" s="35"/>
      <c r="G83" s="8"/>
      <c r="H83" s="8"/>
      <c r="I83" s="32"/>
      <c r="J83" s="32"/>
      <c r="K83" s="32"/>
      <c r="L83" s="52"/>
      <c r="M83" s="32"/>
      <c r="N83" s="42"/>
      <c r="O83" s="32"/>
      <c r="P83" s="32"/>
      <c r="Q83" s="32"/>
      <c r="R83" s="32"/>
      <c r="S83" s="52"/>
      <c r="T83" s="32"/>
      <c r="U83" s="32"/>
      <c r="V83" s="53"/>
    </row>
    <row r="84" spans="1:22" x14ac:dyDescent="0.25">
      <c r="A84" s="59"/>
      <c r="B84" s="59"/>
      <c r="D84" s="57">
        <v>14</v>
      </c>
      <c r="E84" s="8"/>
      <c r="F84" s="8"/>
      <c r="G84" s="8"/>
      <c r="H84" s="8"/>
      <c r="I84" s="8"/>
      <c r="J84" s="8"/>
      <c r="K84" s="8"/>
      <c r="L84" s="8"/>
      <c r="M84" s="8"/>
      <c r="N84" s="57"/>
      <c r="O84" s="8"/>
      <c r="P84" s="8"/>
      <c r="Q84" s="8"/>
      <c r="R84" s="8"/>
      <c r="S84" s="68"/>
      <c r="T84" s="32"/>
      <c r="U84" s="32"/>
      <c r="V84" s="32"/>
    </row>
    <row r="85" spans="1:22" x14ac:dyDescent="0.25">
      <c r="A85" s="59"/>
      <c r="B85" s="59"/>
      <c r="D85" s="57">
        <v>15</v>
      </c>
      <c r="E85" s="8"/>
      <c r="F85" s="35"/>
      <c r="G85" s="8"/>
      <c r="H85" s="8"/>
      <c r="I85" s="32"/>
      <c r="J85" s="32"/>
      <c r="K85" s="32"/>
      <c r="L85" s="32"/>
      <c r="M85" s="32"/>
      <c r="N85" s="42"/>
      <c r="O85" s="32"/>
      <c r="P85" s="32"/>
      <c r="Q85" s="32"/>
      <c r="R85" s="32"/>
      <c r="S85" s="32"/>
      <c r="T85" s="32"/>
      <c r="U85" s="32"/>
      <c r="V85" s="32"/>
    </row>
    <row r="86" spans="1:22" x14ac:dyDescent="0.25">
      <c r="A86" s="59"/>
      <c r="B86" s="59"/>
      <c r="D86" s="57">
        <v>16</v>
      </c>
      <c r="E86" s="8"/>
      <c r="F86" s="35"/>
      <c r="G86" s="8"/>
      <c r="H86" s="8"/>
      <c r="I86" s="32"/>
      <c r="J86" s="32"/>
      <c r="K86" s="32"/>
      <c r="L86" s="32"/>
      <c r="M86" s="32"/>
      <c r="N86" s="42"/>
      <c r="O86" s="32"/>
      <c r="P86" s="32"/>
      <c r="Q86" s="32"/>
      <c r="R86" s="32"/>
      <c r="S86" s="32"/>
      <c r="T86" s="32"/>
      <c r="U86" s="32"/>
      <c r="V86" s="32"/>
    </row>
    <row r="87" spans="1:22" x14ac:dyDescent="0.25">
      <c r="A87" s="59"/>
      <c r="B87" s="59"/>
      <c r="D87" s="57">
        <v>17</v>
      </c>
      <c r="E87" s="8"/>
      <c r="F87" s="35"/>
      <c r="G87" s="8"/>
      <c r="H87" s="8"/>
      <c r="I87" s="32"/>
      <c r="J87" s="32"/>
      <c r="K87" s="32"/>
      <c r="L87" s="32"/>
      <c r="M87" s="32"/>
      <c r="N87" s="42"/>
      <c r="O87" s="32"/>
      <c r="P87" s="32"/>
      <c r="Q87" s="32"/>
      <c r="R87" s="32"/>
      <c r="S87" s="32"/>
      <c r="T87" s="32"/>
      <c r="U87" s="32"/>
      <c r="V87" s="32"/>
    </row>
    <row r="88" spans="1:22" x14ac:dyDescent="0.25">
      <c r="A88" s="59"/>
      <c r="B88" s="59"/>
      <c r="D88" s="57">
        <v>18</v>
      </c>
      <c r="E88" s="8"/>
      <c r="F88" s="35"/>
      <c r="G88" s="8"/>
      <c r="H88" s="8"/>
      <c r="I88" s="32"/>
      <c r="J88" s="32"/>
      <c r="K88" s="32"/>
      <c r="L88" s="32"/>
      <c r="M88" s="32"/>
      <c r="N88" s="42"/>
      <c r="O88" s="32"/>
      <c r="P88" s="32"/>
      <c r="Q88" s="32"/>
      <c r="R88" s="32"/>
      <c r="S88" s="32"/>
      <c r="T88" s="32"/>
      <c r="U88" s="32"/>
      <c r="V88" s="32"/>
    </row>
    <row r="89" spans="1:22" x14ac:dyDescent="0.25">
      <c r="A89" s="59"/>
      <c r="B89" s="59"/>
      <c r="D89" s="57">
        <v>19</v>
      </c>
      <c r="E89" s="8"/>
      <c r="F89" s="35"/>
      <c r="G89" s="8"/>
      <c r="H89" s="8"/>
      <c r="I89" s="32"/>
      <c r="J89" s="32"/>
      <c r="K89" s="32"/>
      <c r="L89" s="32"/>
      <c r="M89" s="32"/>
      <c r="N89" s="42"/>
      <c r="O89" s="32"/>
      <c r="P89" s="32"/>
      <c r="Q89" s="32"/>
      <c r="R89" s="32"/>
      <c r="S89" s="32"/>
      <c r="T89" s="32"/>
      <c r="U89" s="32"/>
      <c r="V89" s="32"/>
    </row>
    <row r="90" spans="1:22" x14ac:dyDescent="0.25">
      <c r="A90" s="59"/>
      <c r="B90" s="59"/>
      <c r="D90" s="57">
        <v>20</v>
      </c>
      <c r="E90" s="30"/>
      <c r="F90" s="35"/>
      <c r="G90" s="8"/>
      <c r="H90" s="8"/>
      <c r="I90" s="32"/>
      <c r="J90" s="32"/>
      <c r="K90" s="32"/>
      <c r="L90" s="32"/>
      <c r="M90" s="32"/>
      <c r="N90" s="42"/>
      <c r="O90" s="32"/>
      <c r="P90" s="32"/>
      <c r="Q90" s="32"/>
      <c r="R90" s="32"/>
      <c r="S90" s="32"/>
      <c r="T90" s="32"/>
      <c r="U90" s="32"/>
      <c r="V90" s="32"/>
    </row>
    <row r="91" spans="1:22" x14ac:dyDescent="0.25">
      <c r="A91" s="59"/>
      <c r="B91" s="59"/>
      <c r="D91" s="57">
        <v>21</v>
      </c>
      <c r="E91" s="30"/>
      <c r="F91" s="35"/>
      <c r="G91" s="8"/>
      <c r="H91" s="8"/>
      <c r="I91" s="32"/>
      <c r="J91" s="32"/>
      <c r="K91" s="32"/>
      <c r="L91" s="32"/>
      <c r="M91" s="32"/>
      <c r="N91" s="42"/>
      <c r="O91" s="32"/>
      <c r="P91" s="32"/>
      <c r="Q91" s="32"/>
      <c r="R91" s="32"/>
      <c r="S91" s="32"/>
      <c r="T91" s="32"/>
      <c r="U91" s="32"/>
      <c r="V91" s="32"/>
    </row>
    <row r="92" spans="1:22" x14ac:dyDescent="0.25">
      <c r="A92" s="59"/>
      <c r="B92" s="59"/>
      <c r="D92" s="57">
        <v>22</v>
      </c>
      <c r="E92" s="30"/>
      <c r="F92" s="35"/>
      <c r="G92" s="8"/>
      <c r="H92" s="8"/>
      <c r="I92" s="32"/>
      <c r="J92" s="32"/>
      <c r="K92" s="32"/>
      <c r="L92" s="32"/>
      <c r="M92" s="32"/>
      <c r="N92" s="42"/>
      <c r="O92" s="32"/>
      <c r="P92" s="32"/>
      <c r="Q92" s="32"/>
      <c r="R92" s="32"/>
      <c r="S92" s="32"/>
      <c r="T92" s="32"/>
      <c r="U92" s="32"/>
      <c r="V92" s="32"/>
    </row>
    <row r="93" spans="1:22" x14ac:dyDescent="0.25">
      <c r="A93" s="59"/>
      <c r="B93" s="59"/>
      <c r="D93" s="57">
        <v>23</v>
      </c>
      <c r="E93" s="30"/>
      <c r="F93" s="35"/>
      <c r="G93" s="8"/>
      <c r="H93" s="8"/>
      <c r="I93" s="32"/>
      <c r="J93" s="32"/>
      <c r="K93" s="32"/>
      <c r="L93" s="32"/>
      <c r="M93" s="32"/>
      <c r="N93" s="42"/>
      <c r="O93" s="32"/>
      <c r="P93" s="32"/>
      <c r="Q93" s="32"/>
      <c r="R93" s="32"/>
      <c r="S93" s="32"/>
      <c r="T93" s="32"/>
      <c r="U93" s="32"/>
      <c r="V93" s="32"/>
    </row>
    <row r="94" spans="1:22" x14ac:dyDescent="0.25">
      <c r="A94" s="59"/>
      <c r="B94" s="59"/>
      <c r="D94" s="57">
        <v>24</v>
      </c>
      <c r="E94" s="30"/>
      <c r="F94" s="35"/>
      <c r="G94" s="8"/>
      <c r="H94" s="8"/>
      <c r="I94" s="32"/>
      <c r="J94" s="32"/>
      <c r="K94" s="32"/>
      <c r="L94" s="32"/>
      <c r="M94" s="32"/>
      <c r="N94" s="42"/>
      <c r="O94" s="32"/>
      <c r="P94" s="32"/>
      <c r="Q94" s="32"/>
      <c r="R94" s="32"/>
      <c r="S94" s="32"/>
      <c r="T94" s="32"/>
      <c r="U94" s="32"/>
      <c r="V94" s="32"/>
    </row>
    <row r="95" spans="1:22" x14ac:dyDescent="0.25">
      <c r="A95" s="59"/>
      <c r="B95" s="59"/>
      <c r="D95" s="57">
        <v>25</v>
      </c>
      <c r="E95" s="30"/>
      <c r="F95" s="35"/>
      <c r="G95" s="8"/>
      <c r="H95" s="8"/>
      <c r="I95" s="32"/>
      <c r="J95" s="32"/>
      <c r="K95" s="32"/>
      <c r="L95" s="32"/>
      <c r="M95" s="32"/>
      <c r="N95" s="42"/>
      <c r="O95" s="32"/>
      <c r="P95" s="32"/>
      <c r="Q95" s="32"/>
      <c r="R95" s="32"/>
      <c r="S95" s="32"/>
      <c r="T95" s="32"/>
      <c r="U95" s="32"/>
      <c r="V95" s="32"/>
    </row>
    <row r="96" spans="1:22" x14ac:dyDescent="0.25">
      <c r="A96" s="59"/>
      <c r="B96" s="59"/>
      <c r="D96" s="57">
        <v>26</v>
      </c>
      <c r="E96" s="30"/>
      <c r="F96" s="35"/>
      <c r="G96" s="8"/>
      <c r="H96" s="8"/>
      <c r="I96" s="32"/>
      <c r="J96" s="32"/>
      <c r="K96" s="32"/>
      <c r="L96" s="32"/>
      <c r="M96" s="32"/>
      <c r="N96" s="42"/>
      <c r="O96" s="32"/>
      <c r="P96" s="32"/>
      <c r="Q96" s="32"/>
      <c r="R96" s="32"/>
      <c r="S96" s="32"/>
      <c r="T96" s="32"/>
      <c r="U96" s="32"/>
      <c r="V96" s="32"/>
    </row>
    <row r="97" spans="1:22" x14ac:dyDescent="0.25">
      <c r="A97" s="59"/>
      <c r="B97" s="59"/>
      <c r="D97" s="57">
        <v>27</v>
      </c>
      <c r="E97" s="30"/>
      <c r="F97" s="35"/>
      <c r="G97" s="8"/>
      <c r="H97" s="8"/>
      <c r="I97" s="32"/>
      <c r="J97" s="32"/>
      <c r="K97" s="32"/>
      <c r="L97" s="32"/>
      <c r="M97" s="32"/>
      <c r="N97" s="42"/>
      <c r="O97" s="32"/>
      <c r="P97" s="32"/>
      <c r="Q97" s="32"/>
      <c r="R97" s="32"/>
      <c r="S97" s="32"/>
      <c r="T97" s="32"/>
      <c r="U97" s="32"/>
      <c r="V97" s="32"/>
    </row>
    <row r="98" spans="1:22" x14ac:dyDescent="0.25">
      <c r="A98" s="59"/>
      <c r="B98" s="59"/>
      <c r="D98" s="57">
        <v>28</v>
      </c>
      <c r="E98" s="30"/>
      <c r="F98" s="35"/>
      <c r="G98" s="8"/>
      <c r="H98" s="8"/>
      <c r="I98" s="32"/>
      <c r="J98" s="32"/>
      <c r="K98" s="32"/>
      <c r="L98" s="32"/>
      <c r="M98" s="32"/>
      <c r="N98" s="42"/>
      <c r="O98" s="32"/>
      <c r="P98" s="32"/>
      <c r="Q98" s="32"/>
      <c r="R98" s="32"/>
      <c r="S98" s="32"/>
      <c r="T98" s="32"/>
      <c r="U98" s="32"/>
      <c r="V98" s="32"/>
    </row>
    <row r="99" spans="1:22" x14ac:dyDescent="0.25">
      <c r="A99" s="59"/>
      <c r="B99" s="59"/>
      <c r="D99" s="57">
        <v>29</v>
      </c>
      <c r="E99" s="30"/>
      <c r="F99" s="35"/>
      <c r="G99" s="8"/>
      <c r="H99" s="8"/>
      <c r="I99" s="32"/>
      <c r="J99" s="32"/>
      <c r="K99" s="32"/>
      <c r="L99" s="32"/>
      <c r="M99" s="32"/>
      <c r="N99" s="42"/>
      <c r="O99" s="32"/>
      <c r="P99" s="32"/>
      <c r="Q99" s="32"/>
      <c r="R99" s="32"/>
      <c r="S99" s="32"/>
      <c r="T99" s="32"/>
      <c r="U99" s="32"/>
      <c r="V99" s="32"/>
    </row>
    <row r="100" spans="1:22" x14ac:dyDescent="0.25">
      <c r="A100" s="59"/>
      <c r="B100" s="59"/>
      <c r="D100" s="57">
        <v>30</v>
      </c>
      <c r="E100" s="30"/>
      <c r="F100" s="35"/>
      <c r="G100" s="8"/>
      <c r="H100" s="8"/>
      <c r="I100" s="32"/>
      <c r="J100" s="32"/>
      <c r="K100" s="32"/>
      <c r="L100" s="32"/>
      <c r="M100" s="32"/>
      <c r="N100" s="42"/>
      <c r="O100" s="32"/>
      <c r="P100" s="32"/>
      <c r="Q100" s="32"/>
      <c r="R100" s="32"/>
      <c r="S100" s="32"/>
      <c r="T100" s="32"/>
      <c r="U100" s="32"/>
      <c r="V100" s="32"/>
    </row>
    <row r="101" spans="1:22" x14ac:dyDescent="0.25">
      <c r="A101" s="59"/>
      <c r="B101" s="59"/>
      <c r="D101" s="57">
        <v>31</v>
      </c>
      <c r="E101" s="30"/>
      <c r="F101" s="35"/>
      <c r="G101" s="8"/>
      <c r="H101" s="8"/>
      <c r="I101" s="32"/>
      <c r="J101" s="32"/>
      <c r="K101" s="32"/>
      <c r="L101" s="32"/>
      <c r="M101" s="32"/>
      <c r="N101" s="42"/>
      <c r="O101" s="32"/>
      <c r="P101" s="32"/>
      <c r="Q101" s="32"/>
      <c r="R101" s="32"/>
      <c r="S101" s="32"/>
      <c r="T101" s="32"/>
      <c r="U101" s="32"/>
      <c r="V101" s="32"/>
    </row>
    <row r="102" spans="1:22" x14ac:dyDescent="0.25">
      <c r="A102" s="59"/>
      <c r="B102" s="59"/>
      <c r="D102" s="57">
        <v>32</v>
      </c>
      <c r="E102" s="30"/>
      <c r="F102" s="194"/>
      <c r="G102" s="8"/>
      <c r="H102" s="8"/>
      <c r="I102" s="32"/>
      <c r="J102" s="32"/>
      <c r="K102" s="32"/>
      <c r="L102" s="32"/>
      <c r="M102" s="32"/>
      <c r="N102" s="42"/>
      <c r="O102" s="32"/>
      <c r="P102" s="32"/>
      <c r="Q102" s="32"/>
      <c r="R102" s="32"/>
      <c r="S102" s="32"/>
      <c r="T102" s="32"/>
      <c r="U102" s="32"/>
      <c r="V102" s="32"/>
    </row>
    <row r="103" spans="1:22" x14ac:dyDescent="0.25">
      <c r="A103" s="59"/>
      <c r="B103" s="59"/>
      <c r="D103" s="57">
        <v>33</v>
      </c>
      <c r="E103" s="30"/>
      <c r="F103" s="35"/>
      <c r="G103" s="8"/>
      <c r="H103" s="8"/>
      <c r="I103" s="32"/>
      <c r="J103" s="32"/>
      <c r="K103" s="32"/>
      <c r="L103" s="32"/>
      <c r="M103" s="32"/>
      <c r="N103" s="42"/>
      <c r="O103" s="32"/>
      <c r="P103" s="32"/>
      <c r="Q103" s="32"/>
      <c r="R103" s="32"/>
      <c r="S103" s="32"/>
      <c r="T103" s="32"/>
      <c r="U103" s="32"/>
      <c r="V103" s="32"/>
    </row>
    <row r="104" spans="1:22" x14ac:dyDescent="0.25">
      <c r="A104" s="59"/>
      <c r="B104" s="59"/>
      <c r="D104" s="57">
        <v>34</v>
      </c>
      <c r="E104" s="30"/>
      <c r="F104" s="35"/>
      <c r="G104" s="8"/>
      <c r="H104" s="8"/>
      <c r="I104" s="32"/>
      <c r="J104" s="32"/>
      <c r="K104" s="32"/>
      <c r="L104" s="32"/>
      <c r="M104" s="32"/>
      <c r="N104" s="42"/>
      <c r="O104" s="32"/>
      <c r="P104" s="32"/>
      <c r="Q104" s="32"/>
      <c r="R104" s="32"/>
      <c r="S104" s="32"/>
      <c r="T104" s="32"/>
      <c r="U104" s="32"/>
      <c r="V104" s="32"/>
    </row>
    <row r="105" spans="1:22" x14ac:dyDescent="0.25">
      <c r="A105" s="59"/>
      <c r="B105" s="59"/>
      <c r="D105" s="57">
        <v>35</v>
      </c>
      <c r="E105" s="30"/>
      <c r="F105" s="35"/>
      <c r="G105" s="8"/>
      <c r="H105" s="8"/>
      <c r="I105" s="32"/>
      <c r="J105" s="32"/>
      <c r="K105" s="32"/>
      <c r="L105" s="32"/>
      <c r="M105" s="32"/>
      <c r="N105" s="42"/>
      <c r="O105" s="32"/>
      <c r="P105" s="32"/>
      <c r="Q105" s="32"/>
      <c r="R105" s="32"/>
      <c r="S105" s="32"/>
      <c r="T105" s="32"/>
      <c r="U105" s="32"/>
      <c r="V105" s="32"/>
    </row>
    <row r="106" spans="1:22" x14ac:dyDescent="0.25">
      <c r="A106" s="59"/>
      <c r="B106" s="59"/>
      <c r="D106" s="57">
        <v>36</v>
      </c>
      <c r="E106" s="30"/>
      <c r="F106" s="35"/>
      <c r="G106" s="8"/>
      <c r="H106" s="8"/>
      <c r="I106" s="32"/>
      <c r="J106" s="32"/>
      <c r="K106" s="32"/>
      <c r="L106" s="32"/>
      <c r="M106" s="32"/>
      <c r="N106" s="42"/>
      <c r="O106" s="32"/>
      <c r="P106" s="32"/>
      <c r="Q106" s="32"/>
      <c r="R106" s="32"/>
      <c r="S106" s="32"/>
      <c r="T106" s="32"/>
      <c r="U106" s="32"/>
      <c r="V106" s="32"/>
    </row>
    <row r="107" spans="1:22" x14ac:dyDescent="0.25">
      <c r="A107" s="59"/>
      <c r="B107" s="59"/>
      <c r="D107" s="57">
        <v>37</v>
      </c>
      <c r="E107" s="30"/>
      <c r="F107" s="35"/>
      <c r="G107" s="8"/>
      <c r="H107" s="8"/>
      <c r="I107" s="32"/>
      <c r="J107" s="32"/>
      <c r="K107" s="32"/>
      <c r="L107" s="32"/>
      <c r="M107" s="32"/>
      <c r="N107" s="42"/>
      <c r="O107" s="32"/>
      <c r="P107" s="32"/>
      <c r="Q107" s="32"/>
      <c r="R107" s="32"/>
      <c r="S107" s="32"/>
      <c r="T107" s="32"/>
      <c r="U107" s="32"/>
      <c r="V107" s="32"/>
    </row>
    <row r="108" spans="1:22" x14ac:dyDescent="0.25">
      <c r="A108" s="59"/>
      <c r="B108" s="59"/>
      <c r="D108" s="57">
        <v>38</v>
      </c>
      <c r="E108" s="30"/>
      <c r="F108" s="35"/>
      <c r="G108" s="8"/>
      <c r="H108" s="8"/>
      <c r="I108" s="32"/>
      <c r="J108" s="32"/>
      <c r="K108" s="32"/>
      <c r="L108" s="32"/>
      <c r="M108" s="32"/>
      <c r="N108" s="42"/>
      <c r="O108" s="32"/>
      <c r="P108" s="32"/>
      <c r="Q108" s="32"/>
      <c r="R108" s="32"/>
      <c r="S108" s="32"/>
      <c r="T108" s="32"/>
      <c r="U108" s="32"/>
      <c r="V108" s="32"/>
    </row>
    <row r="109" spans="1:22" ht="15.75" thickBot="1" x14ac:dyDescent="0.3">
      <c r="A109" s="59"/>
      <c r="B109" s="59"/>
      <c r="D109" s="58">
        <v>39</v>
      </c>
      <c r="E109" s="9"/>
      <c r="F109" s="9"/>
      <c r="G109" s="9"/>
      <c r="H109" s="9"/>
      <c r="I109" s="9"/>
      <c r="J109" s="9"/>
      <c r="K109" s="9"/>
      <c r="L109" s="9"/>
      <c r="M109" s="9"/>
      <c r="N109" s="58"/>
      <c r="O109" s="9"/>
      <c r="P109" s="9"/>
      <c r="Q109" s="9"/>
      <c r="R109" s="9"/>
      <c r="S109" s="9"/>
      <c r="T109" s="9"/>
      <c r="U109" s="9"/>
      <c r="V109" s="9"/>
    </row>
    <row r="110" spans="1:22" x14ac:dyDescent="0.2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304</v>
      </c>
    </row>
  </sheetData>
  <mergeCells count="2">
    <mergeCell ref="K4:O4"/>
    <mergeCell ref="K58:O58"/>
  </mergeCells>
  <pageMargins left="0.7" right="0.7" top="0.75" bottom="0.75" header="0.3" footer="0.3"/>
  <pageSetup scale="4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09F4A-C92A-4292-AD9F-C43BC009AC28}">
  <sheetPr>
    <pageSetUpPr fitToPage="1"/>
  </sheetPr>
  <dimension ref="A3:W380"/>
  <sheetViews>
    <sheetView topLeftCell="D384" workbookViewId="0">
      <selection activeCell="E339" sqref="E339:E379"/>
    </sheetView>
  </sheetViews>
  <sheetFormatPr defaultRowHeight="15" x14ac:dyDescent="0.25"/>
  <cols>
    <col min="1" max="1" width="31.85546875" bestFit="1" customWidth="1"/>
    <col min="2" max="2" width="39.140625" bestFit="1" customWidth="1"/>
    <col min="3" max="3" width="56.140625" bestFit="1" customWidth="1"/>
    <col min="9" max="9" width="21.85546875" bestFit="1" customWidth="1"/>
    <col min="10" max="10" width="9.85546875" customWidth="1"/>
    <col min="11" max="11" width="10.28515625" bestFit="1" customWidth="1"/>
    <col min="13" max="13" width="19" bestFit="1" customWidth="1"/>
    <col min="16" max="16" width="12" bestFit="1" customWidth="1"/>
    <col min="18" max="18" width="10.28515625" bestFit="1" customWidth="1"/>
    <col min="20" max="20" width="24" bestFit="1" customWidth="1"/>
    <col min="22" max="22" width="9.85546875" bestFit="1" customWidth="1"/>
    <col min="23" max="23" width="18.7109375" bestFit="1" customWidth="1"/>
  </cols>
  <sheetData>
    <row r="3" spans="1:23" x14ac:dyDescent="0.25">
      <c r="E3" s="8"/>
      <c r="F3" s="8"/>
      <c r="G3" s="8"/>
      <c r="H3" s="8"/>
      <c r="I3" s="8"/>
      <c r="J3" s="8"/>
      <c r="K3" s="8"/>
      <c r="L3" s="378"/>
      <c r="M3" s="378"/>
      <c r="N3" s="378"/>
      <c r="O3" s="378"/>
      <c r="P3" s="378"/>
      <c r="Q3" s="8"/>
      <c r="R3" s="8"/>
      <c r="S3" s="8"/>
      <c r="T3" s="8"/>
      <c r="U3" s="8"/>
      <c r="V3" s="8"/>
      <c r="W3" s="8"/>
    </row>
    <row r="4" spans="1:23" ht="15.75" thickBot="1" x14ac:dyDescent="0.3">
      <c r="E4" s="9" t="s">
        <v>305</v>
      </c>
      <c r="F4" s="9"/>
      <c r="G4" s="9"/>
      <c r="H4" s="9"/>
      <c r="I4" s="9"/>
      <c r="J4" s="9"/>
      <c r="K4" s="9"/>
      <c r="L4" s="379" t="s">
        <v>306</v>
      </c>
      <c r="M4" s="379"/>
      <c r="N4" s="379"/>
      <c r="O4" s="379"/>
      <c r="P4" s="379"/>
      <c r="Q4" s="9"/>
      <c r="R4" s="9"/>
      <c r="S4" s="9"/>
      <c r="T4" s="9"/>
      <c r="U4" s="9"/>
      <c r="V4" s="9"/>
      <c r="W4" s="13" t="s">
        <v>876</v>
      </c>
    </row>
    <row r="5" spans="1:23" x14ac:dyDescent="0.25">
      <c r="B5" s="60" t="s">
        <v>711</v>
      </c>
      <c r="C5" s="61">
        <f>+'Operating Revenue Requirement'!F6</f>
        <v>452943703.79345465</v>
      </c>
      <c r="E5" s="8" t="s">
        <v>307</v>
      </c>
      <c r="F5" s="8"/>
      <c r="G5" s="8"/>
      <c r="H5" s="8"/>
      <c r="I5" s="8" t="s">
        <v>308</v>
      </c>
      <c r="J5" s="8" t="s">
        <v>910</v>
      </c>
      <c r="K5" s="8"/>
      <c r="L5" s="8"/>
      <c r="M5" s="8"/>
      <c r="N5" s="8"/>
      <c r="O5" s="98"/>
      <c r="P5" s="99"/>
      <c r="Q5" s="8"/>
      <c r="R5" s="8"/>
      <c r="S5" s="99"/>
      <c r="T5" s="99" t="s">
        <v>309</v>
      </c>
      <c r="U5" s="8"/>
      <c r="V5" s="8"/>
      <c r="W5" s="10"/>
    </row>
    <row r="6" spans="1:23" x14ac:dyDescent="0.25">
      <c r="E6" s="8"/>
      <c r="F6" s="8"/>
      <c r="G6" s="8"/>
      <c r="H6" s="8"/>
      <c r="I6" s="8"/>
      <c r="J6" s="8" t="s">
        <v>911</v>
      </c>
      <c r="K6" s="8"/>
      <c r="L6" s="8"/>
      <c r="M6" s="8"/>
      <c r="N6" s="8"/>
      <c r="O6" s="57"/>
      <c r="P6" s="10"/>
      <c r="Q6" s="8"/>
      <c r="R6" s="8"/>
      <c r="S6" s="11"/>
      <c r="T6" s="117" t="s">
        <v>916</v>
      </c>
      <c r="U6" s="116" t="s">
        <v>1512</v>
      </c>
      <c r="V6" s="8"/>
      <c r="W6" s="11"/>
    </row>
    <row r="7" spans="1:23" x14ac:dyDescent="0.25">
      <c r="B7" s="62" t="s">
        <v>713</v>
      </c>
      <c r="C7" s="64">
        <v>4.0259017710402738E-2</v>
      </c>
      <c r="E7" s="8" t="s">
        <v>310</v>
      </c>
      <c r="F7" s="8"/>
      <c r="G7" s="8"/>
      <c r="H7" s="8"/>
      <c r="I7" s="8"/>
      <c r="J7" s="8" t="s">
        <v>912</v>
      </c>
      <c r="K7" s="8"/>
      <c r="L7" s="8"/>
      <c r="M7" s="8"/>
      <c r="N7" s="8"/>
      <c r="O7" s="57"/>
      <c r="P7" s="10"/>
      <c r="Q7" s="11"/>
      <c r="R7" s="8"/>
      <c r="S7" s="8"/>
      <c r="T7" s="265"/>
      <c r="U7" s="116"/>
      <c r="V7" s="8"/>
      <c r="W7" s="11"/>
    </row>
    <row r="8" spans="1:23" x14ac:dyDescent="0.25">
      <c r="B8" s="62" t="s">
        <v>712</v>
      </c>
      <c r="C8" s="63">
        <f>+(T107+T162+T361)</f>
        <v>452943703.99998653</v>
      </c>
      <c r="E8" s="8"/>
      <c r="F8" s="8"/>
      <c r="G8" s="8"/>
      <c r="H8" s="8"/>
      <c r="I8" s="8"/>
      <c r="J8" s="8" t="s">
        <v>913</v>
      </c>
      <c r="K8" s="8"/>
      <c r="L8" s="8"/>
      <c r="M8" s="8"/>
      <c r="N8" s="8"/>
      <c r="O8" s="57"/>
      <c r="P8" s="10"/>
      <c r="Q8" s="11"/>
      <c r="R8" s="8"/>
      <c r="S8" s="8"/>
      <c r="T8" s="265"/>
      <c r="U8" s="116"/>
      <c r="V8" s="8"/>
      <c r="W8" s="11"/>
    </row>
    <row r="9" spans="1:23" x14ac:dyDescent="0.25">
      <c r="E9" s="8"/>
      <c r="F9" s="8"/>
      <c r="G9" s="11"/>
      <c r="H9" s="8"/>
      <c r="I9" s="8"/>
      <c r="J9" s="8" t="s">
        <v>914</v>
      </c>
      <c r="K9" s="8"/>
      <c r="L9" s="12"/>
      <c r="M9" s="12"/>
      <c r="N9" s="12"/>
      <c r="O9" s="57"/>
      <c r="P9" s="8"/>
      <c r="Q9" s="8"/>
      <c r="R9" s="8"/>
      <c r="S9" s="8"/>
      <c r="T9" s="265"/>
      <c r="V9" s="8"/>
      <c r="W9" s="8"/>
    </row>
    <row r="10" spans="1:23" ht="15.75" thickBot="1" x14ac:dyDescent="0.3">
      <c r="E10" s="9" t="s">
        <v>1292</v>
      </c>
      <c r="F10" s="9"/>
      <c r="G10" s="13"/>
      <c r="H10" s="14"/>
      <c r="I10" s="14"/>
      <c r="J10" s="15" t="s">
        <v>915</v>
      </c>
      <c r="K10" s="15"/>
      <c r="L10" s="14"/>
      <c r="M10" s="14"/>
      <c r="N10" s="14"/>
      <c r="O10" s="14"/>
      <c r="P10" s="14"/>
      <c r="Q10" s="14"/>
      <c r="R10" s="15"/>
      <c r="S10" s="14"/>
      <c r="T10" s="14"/>
      <c r="U10" s="114" t="s">
        <v>1519</v>
      </c>
      <c r="V10" s="14"/>
      <c r="W10" s="14"/>
    </row>
    <row r="11" spans="1:23" x14ac:dyDescent="0.25">
      <c r="E11" s="8"/>
      <c r="F11" s="8"/>
      <c r="G11" s="8"/>
      <c r="H11" s="8"/>
      <c r="I11" s="12"/>
      <c r="J11" s="8"/>
      <c r="K11" s="12"/>
      <c r="L11" s="16"/>
      <c r="M11" s="12"/>
      <c r="N11" s="8"/>
      <c r="O11" s="12"/>
      <c r="P11" s="8"/>
      <c r="Q11" s="16"/>
      <c r="R11" s="12"/>
      <c r="S11" s="8"/>
      <c r="T11" s="8"/>
      <c r="U11" s="8"/>
      <c r="V11" s="8"/>
      <c r="W11" s="8"/>
    </row>
    <row r="12" spans="1:23" x14ac:dyDescent="0.25">
      <c r="E12" s="8"/>
      <c r="F12" s="8"/>
      <c r="G12" s="8"/>
      <c r="H12" s="8"/>
      <c r="I12" s="16"/>
      <c r="J12" s="8"/>
      <c r="K12" s="8"/>
      <c r="L12" s="16"/>
      <c r="M12" s="8"/>
      <c r="N12" s="8"/>
      <c r="O12" s="12"/>
      <c r="P12" s="8"/>
      <c r="Q12" s="16"/>
      <c r="R12" s="8"/>
      <c r="S12" s="8"/>
      <c r="T12" s="8"/>
      <c r="U12" s="8"/>
      <c r="V12" s="8"/>
      <c r="W12" s="8"/>
    </row>
    <row r="13" spans="1:23" x14ac:dyDescent="0.25">
      <c r="E13" s="8"/>
      <c r="F13" s="8"/>
      <c r="G13" s="8"/>
      <c r="H13" s="8"/>
      <c r="I13" s="8"/>
      <c r="J13" s="16"/>
      <c r="K13" s="16"/>
      <c r="L13" s="17"/>
      <c r="M13" s="17" t="s">
        <v>311</v>
      </c>
      <c r="N13" s="12"/>
      <c r="O13" s="18" t="s">
        <v>718</v>
      </c>
      <c r="P13" s="16"/>
      <c r="Q13" s="8"/>
      <c r="R13" s="16"/>
      <c r="S13" s="16"/>
      <c r="T13" s="16"/>
      <c r="U13" s="16"/>
      <c r="V13" s="16"/>
      <c r="W13" s="8"/>
    </row>
    <row r="14" spans="1:23" x14ac:dyDescent="0.25">
      <c r="E14" s="8"/>
      <c r="F14" s="8"/>
      <c r="G14" s="8"/>
      <c r="H14" s="8"/>
      <c r="I14" s="8"/>
      <c r="J14" s="16"/>
      <c r="K14" s="16"/>
      <c r="L14" s="16"/>
      <c r="M14" s="16"/>
      <c r="N14" s="16"/>
      <c r="O14" s="12"/>
      <c r="P14" s="16"/>
      <c r="Q14" s="16"/>
      <c r="R14" s="16"/>
      <c r="S14" s="16"/>
      <c r="T14" s="16"/>
      <c r="U14" s="16"/>
      <c r="V14" s="16"/>
      <c r="W14" s="16"/>
    </row>
    <row r="15" spans="1:23" x14ac:dyDescent="0.25">
      <c r="E15" s="57" t="s">
        <v>313</v>
      </c>
      <c r="F15" s="196" t="s">
        <v>314</v>
      </c>
      <c r="G15" s="20"/>
      <c r="H15" s="21"/>
      <c r="I15" s="22"/>
      <c r="J15" s="22"/>
      <c r="K15" s="23" t="s">
        <v>315</v>
      </c>
      <c r="L15" s="22"/>
      <c r="M15" s="22"/>
      <c r="N15" s="20"/>
      <c r="O15" s="24"/>
      <c r="P15" s="22"/>
      <c r="Q15" s="23"/>
      <c r="R15" s="23" t="s">
        <v>316</v>
      </c>
      <c r="S15" s="22"/>
      <c r="T15" s="22"/>
      <c r="U15" s="20"/>
      <c r="V15" s="25" t="s">
        <v>317</v>
      </c>
      <c r="W15" s="25" t="s">
        <v>318</v>
      </c>
    </row>
    <row r="16" spans="1:23" ht="15.75" thickBot="1" x14ac:dyDescent="0.3">
      <c r="A16" s="85" t="s">
        <v>809</v>
      </c>
      <c r="B16" s="85" t="s">
        <v>551</v>
      </c>
      <c r="C16" s="85" t="s">
        <v>552</v>
      </c>
      <c r="E16" s="58" t="s">
        <v>319</v>
      </c>
      <c r="F16" s="192" t="s">
        <v>320</v>
      </c>
      <c r="G16" s="27"/>
      <c r="H16" s="9"/>
      <c r="I16" s="58" t="s">
        <v>321</v>
      </c>
      <c r="J16" s="28"/>
      <c r="K16" s="28" t="s">
        <v>322</v>
      </c>
      <c r="L16" s="28"/>
      <c r="M16" s="28" t="s">
        <v>323</v>
      </c>
      <c r="N16" s="28"/>
      <c r="O16" s="28"/>
      <c r="P16" s="28" t="s">
        <v>321</v>
      </c>
      <c r="Q16" s="28"/>
      <c r="R16" s="28" t="s">
        <v>322</v>
      </c>
      <c r="S16" s="28"/>
      <c r="T16" s="28" t="s">
        <v>323</v>
      </c>
      <c r="U16" s="27"/>
      <c r="V16" s="29" t="s">
        <v>324</v>
      </c>
      <c r="W16" s="29" t="s">
        <v>325</v>
      </c>
    </row>
    <row r="17" spans="1:23" x14ac:dyDescent="0.25">
      <c r="E17" s="57">
        <v>1</v>
      </c>
      <c r="F17" s="31" t="s">
        <v>326</v>
      </c>
      <c r="G17" s="31"/>
      <c r="H17" s="8"/>
      <c r="I17" s="8"/>
      <c r="J17" s="32"/>
      <c r="K17" s="32"/>
      <c r="L17" s="32"/>
      <c r="M17" s="32"/>
      <c r="N17" s="33"/>
      <c r="O17" s="42"/>
      <c r="P17" s="33"/>
      <c r="Q17" s="32"/>
      <c r="R17" s="32"/>
      <c r="S17" s="32"/>
      <c r="T17" s="32"/>
      <c r="U17" s="32"/>
      <c r="V17" s="32"/>
      <c r="W17" s="32"/>
    </row>
    <row r="18" spans="1:23" x14ac:dyDescent="0.25">
      <c r="A18" s="59" t="s">
        <v>6</v>
      </c>
      <c r="B18" s="59" t="s">
        <v>22</v>
      </c>
      <c r="C18" s="59" t="s">
        <v>540</v>
      </c>
      <c r="E18" s="57">
        <f>+E17+1</f>
        <v>2</v>
      </c>
      <c r="F18" s="31" t="s">
        <v>363</v>
      </c>
      <c r="G18" s="31"/>
      <c r="H18" s="8"/>
      <c r="I18" s="32">
        <f>+INDEX('2025 Billing Determinants'!B:B,MATCH('2027 GSD Rate Class E-13c'!A18,'2025 Billing Determinants'!A:A,0))+INDEX('2025 Billing Determinants'!B:B,MATCH('2027 GSD Rate Class E-13c'!B18,'2025 Billing Determinants'!A:A,0))</f>
        <v>5507579.4199999999</v>
      </c>
      <c r="J18" s="32" t="s">
        <v>328</v>
      </c>
      <c r="K18" s="39">
        <f>+INDEX('2026 Base Rates'!E:E,MATCH('2027 GSD Rate Class E-13c'!C18,'2026 Base Rates'!D:D,0))</f>
        <v>1.8221798095199999</v>
      </c>
      <c r="L18" s="32"/>
      <c r="M18" s="32">
        <f>+I18*K18</f>
        <v>10035800.018451871</v>
      </c>
      <c r="N18" s="33"/>
      <c r="O18" s="42"/>
      <c r="P18" s="32">
        <f>+INDEX('2025 Billing Determinants'!B:B,MATCH('2027 GSD Rate Class E-13c'!A18,'2025 Billing Determinants'!A:A,0))+INDEX('2025 Billing Determinants'!B:B,MATCH('2027 GSD Rate Class E-13c'!B18,'2025 Billing Determinants'!A:A,0))</f>
        <v>5507579.4199999999</v>
      </c>
      <c r="Q18" s="32" t="s">
        <v>328</v>
      </c>
      <c r="R18" s="39">
        <f>+K18*(1+$C$7)</f>
        <v>1.8955389787430039</v>
      </c>
      <c r="S18" s="32"/>
      <c r="T18" s="32">
        <f>+P18*R18</f>
        <v>10439831.469132787</v>
      </c>
      <c r="U18" s="32"/>
      <c r="V18" s="32">
        <f>+T18-M18</f>
        <v>404031.45068091527</v>
      </c>
      <c r="W18" s="41">
        <f>+IF(V18=0,0,(T18-M18)/M18)</f>
        <v>4.0259017710402863E-2</v>
      </c>
    </row>
    <row r="19" spans="1:23" x14ac:dyDescent="0.25">
      <c r="A19" s="59"/>
      <c r="B19" s="59" t="s">
        <v>23</v>
      </c>
      <c r="C19" s="59" t="s">
        <v>541</v>
      </c>
      <c r="E19" s="57">
        <f t="shared" ref="E19:E55" si="0">+E18+1</f>
        <v>3</v>
      </c>
      <c r="F19" s="31" t="s">
        <v>364</v>
      </c>
      <c r="G19" s="8"/>
      <c r="H19" s="8"/>
      <c r="I19" s="32">
        <f>+INDEX('2025 Billing Determinants'!B:B,MATCH('2027 GSD Rate Class E-13c'!B19,'2025 Billing Determinants'!A:A,0))</f>
        <v>20436.89</v>
      </c>
      <c r="J19" s="32" t="s">
        <v>328</v>
      </c>
      <c r="K19" s="39">
        <f>+INDEX('2026 Base Rates'!E:E,MATCH('2027 GSD Rate Class E-13c'!C19,'2026 Base Rates'!D:D,0))</f>
        <v>9.9160482657599989</v>
      </c>
      <c r="L19" s="32"/>
      <c r="M19" s="32">
        <f t="shared" ref="M19:M23" si="1">+I19*K19</f>
        <v>202653.18764202786</v>
      </c>
      <c r="N19" s="8"/>
      <c r="O19" s="57"/>
      <c r="P19" s="32">
        <f>+INDEX('2025 Billing Determinants'!B:B,MATCH('2027 GSD Rate Class E-13c'!B19,'2025 Billing Determinants'!A:A,0))</f>
        <v>20436.89</v>
      </c>
      <c r="Q19" s="32" t="s">
        <v>328</v>
      </c>
      <c r="R19" s="39">
        <f t="shared" ref="R19:R23" si="2">+K19*(1+$C$7)</f>
        <v>10.315258628508438</v>
      </c>
      <c r="S19" s="32"/>
      <c r="T19" s="32">
        <f t="shared" ref="T19:T23" si="3">+P19*R19</f>
        <v>210811.80591237781</v>
      </c>
      <c r="U19" s="32"/>
      <c r="V19" s="32">
        <f t="shared" ref="V19:V24" si="4">+T19-M19</f>
        <v>8158.6182703499508</v>
      </c>
      <c r="W19" s="41">
        <f t="shared" ref="W19:W24" si="5">+IF(V19=0,0,(T19-M19)/M19)</f>
        <v>4.0259017710402648E-2</v>
      </c>
    </row>
    <row r="20" spans="1:23" x14ac:dyDescent="0.25">
      <c r="A20" s="59"/>
      <c r="B20" s="59" t="s">
        <v>24</v>
      </c>
      <c r="C20" s="59" t="s">
        <v>542</v>
      </c>
      <c r="E20" s="57">
        <f t="shared" si="0"/>
        <v>4</v>
      </c>
      <c r="F20" s="193" t="s">
        <v>719</v>
      </c>
      <c r="G20" s="8"/>
      <c r="H20" s="8"/>
      <c r="I20" s="32">
        <f>+INDEX('2025 Billing Determinants'!B:B,MATCH('2027 GSD Rate Class E-13c'!B20,'2025 Billing Determinants'!A:A,0))</f>
        <v>0</v>
      </c>
      <c r="J20" s="32" t="s">
        <v>328</v>
      </c>
      <c r="K20" s="39">
        <f>+INDEX('2026 Base Rates'!E:E,MATCH('2027 GSD Rate Class E-13c'!C20,'2026 Base Rates'!D:D,0))</f>
        <v>27.290320868160002</v>
      </c>
      <c r="L20" s="8"/>
      <c r="M20" s="32">
        <f t="shared" si="1"/>
        <v>0</v>
      </c>
      <c r="N20" s="8"/>
      <c r="O20" s="57"/>
      <c r="P20" s="32">
        <f>+INDEX('2025 Billing Determinants'!B:B,MATCH('2027 GSD Rate Class E-13c'!B20,'2025 Billing Determinants'!A:A,0))</f>
        <v>0</v>
      </c>
      <c r="Q20" s="32" t="s">
        <v>328</v>
      </c>
      <c r="R20" s="39">
        <f t="shared" si="2"/>
        <v>28.38900237931383</v>
      </c>
      <c r="S20" s="8"/>
      <c r="T20" s="32">
        <f t="shared" si="3"/>
        <v>0</v>
      </c>
      <c r="U20" s="8"/>
      <c r="V20" s="32">
        <f t="shared" si="4"/>
        <v>0</v>
      </c>
      <c r="W20" s="41">
        <f t="shared" si="5"/>
        <v>0</v>
      </c>
    </row>
    <row r="21" spans="1:23" x14ac:dyDescent="0.25">
      <c r="A21" s="59"/>
      <c r="B21" s="59" t="s">
        <v>43</v>
      </c>
      <c r="C21" s="59" t="s">
        <v>546</v>
      </c>
      <c r="E21" s="57">
        <f t="shared" si="0"/>
        <v>5</v>
      </c>
      <c r="F21" s="8" t="s">
        <v>720</v>
      </c>
      <c r="G21" s="8"/>
      <c r="H21" s="8"/>
      <c r="I21" s="32">
        <f>+INDEX('2025 Billing Determinants'!B:B,MATCH('2027 GSD Rate Class E-13c'!B21,'2025 Billing Determinants'!A:A,0))</f>
        <v>547000.02</v>
      </c>
      <c r="J21" s="32" t="s">
        <v>328</v>
      </c>
      <c r="K21" s="39">
        <f>+INDEX('2026 Base Rates'!E:E,MATCH('2027 GSD Rate Class E-13c'!C21,'2026 Base Rates'!D:D,0))</f>
        <v>1.8221798095199999</v>
      </c>
      <c r="L21" s="8"/>
      <c r="M21" s="32">
        <f t="shared" si="1"/>
        <v>996732.39225103613</v>
      </c>
      <c r="N21" s="8"/>
      <c r="O21" s="57"/>
      <c r="P21" s="32">
        <f>+INDEX('2025 Billing Determinants'!B:B,MATCH('2027 GSD Rate Class E-13c'!B21,'2025 Billing Determinants'!A:A,0))</f>
        <v>547000.02</v>
      </c>
      <c r="Q21" s="32" t="s">
        <v>328</v>
      </c>
      <c r="R21" s="39">
        <f t="shared" si="2"/>
        <v>1.8955389787430039</v>
      </c>
      <c r="S21" s="8"/>
      <c r="T21" s="32">
        <f t="shared" si="3"/>
        <v>1036859.8592832028</v>
      </c>
      <c r="U21" s="32"/>
      <c r="V21" s="32">
        <f t="shared" si="4"/>
        <v>40127.467032166664</v>
      </c>
      <c r="W21" s="41">
        <f t="shared" si="5"/>
        <v>4.0259017710402849E-2</v>
      </c>
    </row>
    <row r="22" spans="1:23" x14ac:dyDescent="0.25">
      <c r="A22" s="59"/>
      <c r="B22" s="59" t="s">
        <v>44</v>
      </c>
      <c r="C22" s="59" t="s">
        <v>547</v>
      </c>
      <c r="E22" s="57">
        <f t="shared" si="0"/>
        <v>6</v>
      </c>
      <c r="F22" s="8" t="s">
        <v>721</v>
      </c>
      <c r="G22" s="8"/>
      <c r="H22" s="8"/>
      <c r="I22" s="32">
        <f>+INDEX('2025 Billing Determinants'!B:B,MATCH('2027 GSD Rate Class E-13c'!B22,'2025 Billing Determinants'!A:A,0))</f>
        <v>14149.85</v>
      </c>
      <c r="J22" s="32" t="s">
        <v>328</v>
      </c>
      <c r="K22" s="39">
        <f>+INDEX('2026 Base Rates'!E:E,MATCH('2027 GSD Rate Class E-13c'!C22,'2026 Base Rates'!D:D,0))</f>
        <v>9.9160482657599989</v>
      </c>
      <c r="L22" s="8"/>
      <c r="M22" s="32">
        <f t="shared" si="1"/>
        <v>140310.59555326411</v>
      </c>
      <c r="N22" s="8"/>
      <c r="O22" s="57"/>
      <c r="P22" s="32">
        <f>+INDEX('2025 Billing Determinants'!B:B,MATCH('2027 GSD Rate Class E-13c'!B22,'2025 Billing Determinants'!A:A,0))</f>
        <v>14149.85</v>
      </c>
      <c r="Q22" s="32" t="s">
        <v>328</v>
      </c>
      <c r="R22" s="39">
        <f t="shared" si="2"/>
        <v>10.315258628508438</v>
      </c>
      <c r="S22" s="8"/>
      <c r="T22" s="32">
        <f t="shared" si="3"/>
        <v>145959.36230460013</v>
      </c>
      <c r="U22" s="32"/>
      <c r="V22" s="32">
        <f t="shared" si="4"/>
        <v>5648.7667513360211</v>
      </c>
      <c r="W22" s="41">
        <f t="shared" si="5"/>
        <v>4.0259017710402779E-2</v>
      </c>
    </row>
    <row r="23" spans="1:23" ht="16.5" x14ac:dyDescent="0.35">
      <c r="A23" s="59"/>
      <c r="B23" s="59" t="s">
        <v>45</v>
      </c>
      <c r="C23" s="59" t="s">
        <v>548</v>
      </c>
      <c r="E23" s="57">
        <f t="shared" si="0"/>
        <v>7</v>
      </c>
      <c r="F23" s="193" t="s">
        <v>722</v>
      </c>
      <c r="G23" s="8"/>
      <c r="H23" s="8"/>
      <c r="I23" s="105">
        <f>+INDEX('2025 Billing Determinants'!B:B,MATCH('2027 GSD Rate Class E-13c'!B23,'2025 Billing Determinants'!A:A,0))</f>
        <v>753.01</v>
      </c>
      <c r="J23" s="32" t="s">
        <v>328</v>
      </c>
      <c r="K23" s="39">
        <f>+INDEX('2026 Base Rates'!E:E,MATCH('2027 GSD Rate Class E-13c'!C23,'2026 Base Rates'!D:D,0))</f>
        <v>27.290320868160002</v>
      </c>
      <c r="L23" s="8"/>
      <c r="M23" s="100">
        <f t="shared" si="1"/>
        <v>20549.884516933162</v>
      </c>
      <c r="N23" s="8"/>
      <c r="O23" s="57"/>
      <c r="P23" s="105">
        <f>+INDEX('2025 Billing Determinants'!B:B,MATCH('2027 GSD Rate Class E-13c'!B23,'2025 Billing Determinants'!A:A,0))</f>
        <v>753.01</v>
      </c>
      <c r="Q23" s="32" t="s">
        <v>328</v>
      </c>
      <c r="R23" s="39">
        <f t="shared" si="2"/>
        <v>28.38900237931383</v>
      </c>
      <c r="S23" s="8"/>
      <c r="T23" s="32">
        <f t="shared" si="3"/>
        <v>21377.202681647108</v>
      </c>
      <c r="U23" s="8"/>
      <c r="V23" s="32">
        <f t="shared" si="4"/>
        <v>827.31816471394632</v>
      </c>
      <c r="W23" s="41">
        <f t="shared" si="5"/>
        <v>4.025901771040289E-2</v>
      </c>
    </row>
    <row r="24" spans="1:23" x14ac:dyDescent="0.25">
      <c r="A24" s="59"/>
      <c r="B24" s="59"/>
      <c r="C24" s="59"/>
      <c r="E24" s="57">
        <f t="shared" si="0"/>
        <v>8</v>
      </c>
      <c r="F24" s="71" t="s">
        <v>335</v>
      </c>
      <c r="G24" s="8"/>
      <c r="H24" s="8"/>
      <c r="I24" s="33">
        <f>+SUM(I18:I23)</f>
        <v>6089919.1899999995</v>
      </c>
      <c r="J24" s="32" t="s">
        <v>341</v>
      </c>
      <c r="K24" s="39"/>
      <c r="L24" s="32"/>
      <c r="M24" s="101">
        <f>+SUM(M18:M23)</f>
        <v>11396046.078415135</v>
      </c>
      <c r="N24" s="32"/>
      <c r="O24" s="42"/>
      <c r="P24" s="33">
        <f>+SUM(P18:P23)</f>
        <v>6089919.1899999995</v>
      </c>
      <c r="Q24" s="32" t="s">
        <v>341</v>
      </c>
      <c r="R24" s="39"/>
      <c r="S24" s="32"/>
      <c r="T24" s="101">
        <f>+SUM(T18:T23)</f>
        <v>11854839.699314615</v>
      </c>
      <c r="U24" s="32"/>
      <c r="V24" s="32">
        <f t="shared" si="4"/>
        <v>458793.62089947984</v>
      </c>
      <c r="W24" s="41">
        <f t="shared" si="5"/>
        <v>4.0259017710402675E-2</v>
      </c>
    </row>
    <row r="25" spans="1:23" x14ac:dyDescent="0.25">
      <c r="A25" s="59"/>
      <c r="B25" s="59"/>
      <c r="C25" s="59"/>
      <c r="E25" s="57">
        <f t="shared" si="0"/>
        <v>9</v>
      </c>
      <c r="F25" s="8"/>
      <c r="G25" s="8"/>
      <c r="H25" s="8"/>
      <c r="I25" s="8"/>
      <c r="J25" s="32"/>
      <c r="K25" s="39"/>
      <c r="L25" s="32"/>
      <c r="M25" s="32"/>
      <c r="N25" s="33"/>
      <c r="O25" s="42"/>
      <c r="P25" s="33"/>
      <c r="Q25" s="32"/>
      <c r="R25" s="39"/>
      <c r="S25" s="32"/>
      <c r="T25" s="32"/>
      <c r="U25" s="32"/>
      <c r="V25" s="32"/>
      <c r="W25" s="43"/>
    </row>
    <row r="26" spans="1:23" x14ac:dyDescent="0.25">
      <c r="A26" s="59"/>
      <c r="B26" s="59"/>
      <c r="C26" s="59"/>
      <c r="E26" s="57">
        <f t="shared" si="0"/>
        <v>10</v>
      </c>
      <c r="F26" s="31" t="s">
        <v>342</v>
      </c>
      <c r="G26" s="31"/>
      <c r="H26" s="8"/>
      <c r="I26" s="8"/>
      <c r="J26" s="32"/>
      <c r="K26" s="32"/>
      <c r="L26" s="32"/>
      <c r="M26" s="32"/>
      <c r="N26" s="32"/>
      <c r="O26" s="42"/>
      <c r="P26" s="32"/>
      <c r="Q26" s="32"/>
      <c r="R26" s="32"/>
      <c r="S26" s="32"/>
      <c r="T26" s="32"/>
      <c r="U26" s="32"/>
      <c r="V26" s="32"/>
      <c r="W26" s="32"/>
    </row>
    <row r="27" spans="1:23" x14ac:dyDescent="0.25">
      <c r="A27" s="59" t="s">
        <v>7</v>
      </c>
      <c r="B27" s="59" t="s">
        <v>26</v>
      </c>
      <c r="C27" s="59" t="s">
        <v>493</v>
      </c>
      <c r="E27" s="57">
        <f t="shared" si="0"/>
        <v>11</v>
      </c>
      <c r="F27" s="31" t="s">
        <v>363</v>
      </c>
      <c r="G27" s="8"/>
      <c r="H27" s="8"/>
      <c r="I27" s="33">
        <f>+INDEX('2025 Billing Determinants'!B:B,MATCH('2027 GSD Rate Class E-13c'!A27,'2025 Billing Determinants'!A:A,0))+INDEX('2025 Billing Determinants'!B:B,MATCH('2027 GSD Rate Class E-13c'!B27,'2025 Billing Determinants'!A:A,0))</f>
        <v>4527141762</v>
      </c>
      <c r="J27" s="32" t="s">
        <v>710</v>
      </c>
      <c r="K27" s="48">
        <f>+INDEX('2026 Base Rates'!E:E,MATCH('2027 GSD Rate Class E-13c'!C27,'2026 Base Rates'!D:D,0))</f>
        <v>8.1870962604480013E-3</v>
      </c>
      <c r="L27" s="32"/>
      <c r="M27" s="32">
        <f>+I27*K27</f>
        <v>37064145.390188172</v>
      </c>
      <c r="N27" s="33"/>
      <c r="O27" s="42"/>
      <c r="P27" s="33">
        <f>+INDEX('2025 Billing Determinants'!B:B,MATCH('2027 GSD Rate Class E-13c'!A27,'2025 Billing Determinants'!A:A,0))+INDEX('2025 Billing Determinants'!B:B,MATCH('2027 GSD Rate Class E-13c'!B27,'2025 Billing Determinants'!A:A,0))</f>
        <v>4527141762</v>
      </c>
      <c r="Q27" s="32" t="s">
        <v>710</v>
      </c>
      <c r="R27" s="48">
        <f t="shared" ref="R27:R38" si="6">+K27*(1+$C$7)</f>
        <v>8.5167007137941491E-3</v>
      </c>
      <c r="S27" s="32"/>
      <c r="T27" s="32">
        <f>+P27*R27</f>
        <v>38556311.475872703</v>
      </c>
      <c r="U27" s="32"/>
      <c r="V27" s="32">
        <f t="shared" ref="V27:V35" si="7">+T27-M27</f>
        <v>1492166.0856845304</v>
      </c>
      <c r="W27" s="41">
        <f t="shared" ref="W27:W35" si="8">+IF(V27=0,0,(T27-M27)/M27)</f>
        <v>4.0259017710402814E-2</v>
      </c>
    </row>
    <row r="28" spans="1:23" x14ac:dyDescent="0.25">
      <c r="A28" s="59"/>
      <c r="B28" s="59" t="s">
        <v>27</v>
      </c>
      <c r="C28" s="59" t="s">
        <v>494</v>
      </c>
      <c r="E28" s="57">
        <f t="shared" si="0"/>
        <v>12</v>
      </c>
      <c r="F28" s="31" t="s">
        <v>364</v>
      </c>
      <c r="G28" s="8"/>
      <c r="H28" s="8"/>
      <c r="I28" s="33">
        <f>+INDEX('2025 Billing Determinants'!B:B,MATCH('2027 GSD Rate Class E-13c'!B28,'2025 Billing Determinants'!A:A,0))</f>
        <v>73063062</v>
      </c>
      <c r="J28" s="32" t="s">
        <v>710</v>
      </c>
      <c r="K28" s="48">
        <f>+INDEX('2026 Base Rates'!E:E,MATCH('2027 GSD Rate Class E-13c'!C28,'2026 Base Rates'!D:D,0))</f>
        <v>8.1870962604480013E-3</v>
      </c>
      <c r="L28" s="32"/>
      <c r="M28" s="32">
        <f>+I28*K28</f>
        <v>598174.32167708047</v>
      </c>
      <c r="N28" s="33"/>
      <c r="O28" s="42"/>
      <c r="P28" s="33">
        <f>+INDEX('2025 Billing Determinants'!B:B,MATCH('2027 GSD Rate Class E-13c'!B28,'2025 Billing Determinants'!A:A,0))</f>
        <v>73063062</v>
      </c>
      <c r="Q28" s="32" t="s">
        <v>710</v>
      </c>
      <c r="R28" s="48">
        <f t="shared" si="6"/>
        <v>8.5167007137941491E-3</v>
      </c>
      <c r="S28" s="32"/>
      <c r="T28" s="32">
        <f>+P28*R28</f>
        <v>622256.2322873862</v>
      </c>
      <c r="U28" s="32"/>
      <c r="V28" s="32">
        <f t="shared" si="7"/>
        <v>24081.910610305727</v>
      </c>
      <c r="W28" s="41">
        <f t="shared" si="8"/>
        <v>4.0259017710402738E-2</v>
      </c>
    </row>
    <row r="29" spans="1:23" x14ac:dyDescent="0.25">
      <c r="A29" s="59"/>
      <c r="B29" s="59" t="s">
        <v>28</v>
      </c>
      <c r="C29" s="59" t="s">
        <v>495</v>
      </c>
      <c r="E29" s="57">
        <f t="shared" si="0"/>
        <v>13</v>
      </c>
      <c r="F29" s="193" t="s">
        <v>719</v>
      </c>
      <c r="G29" s="8"/>
      <c r="H29" s="8"/>
      <c r="I29" s="33">
        <f>+INDEX('2025 Billing Determinants'!B:B,MATCH('2027 GSD Rate Class E-13c'!B29,'2025 Billing Determinants'!A:A,0))</f>
        <v>0</v>
      </c>
      <c r="J29" s="32" t="s">
        <v>710</v>
      </c>
      <c r="K29" s="48">
        <f>+INDEX('2026 Base Rates'!E:E,MATCH('2027 GSD Rate Class E-13c'!C29,'2026 Base Rates'!D:D,0))</f>
        <v>8.1870962604480013E-3</v>
      </c>
      <c r="L29" s="8"/>
      <c r="M29" s="32">
        <f t="shared" ref="M29:M35" si="9">+I29*K29</f>
        <v>0</v>
      </c>
      <c r="N29" s="8"/>
      <c r="O29" s="57"/>
      <c r="P29" s="33">
        <f>+INDEX('2025 Billing Determinants'!B:B,MATCH('2027 GSD Rate Class E-13c'!B29,'2025 Billing Determinants'!A:A,0))</f>
        <v>0</v>
      </c>
      <c r="Q29" s="32" t="s">
        <v>710</v>
      </c>
      <c r="R29" s="48">
        <f t="shared" si="6"/>
        <v>8.5167007137941491E-3</v>
      </c>
      <c r="S29" s="8"/>
      <c r="T29" s="32">
        <f t="shared" ref="T29:T35" si="10">+P29*R29</f>
        <v>0</v>
      </c>
      <c r="U29" s="32"/>
      <c r="V29" s="32">
        <f t="shared" si="7"/>
        <v>0</v>
      </c>
      <c r="W29" s="41">
        <f t="shared" si="8"/>
        <v>0</v>
      </c>
    </row>
    <row r="30" spans="1:23" x14ac:dyDescent="0.25">
      <c r="A30" s="59"/>
      <c r="B30" s="59" t="s">
        <v>54</v>
      </c>
      <c r="C30" s="59" t="s">
        <v>501</v>
      </c>
      <c r="E30" s="57">
        <f t="shared" si="0"/>
        <v>14</v>
      </c>
      <c r="F30" s="31" t="s">
        <v>723</v>
      </c>
      <c r="G30" s="8"/>
      <c r="H30" s="8"/>
      <c r="I30" s="33">
        <f>+INDEX('2025 Billing Determinants'!B:B,MATCH('2027 GSD Rate Class E-13c'!B30,'2025 Billing Determinants'!A:A,0))</f>
        <v>461128885</v>
      </c>
      <c r="J30" s="32" t="s">
        <v>710</v>
      </c>
      <c r="K30" s="48">
        <f>+INDEX('2026 Base Rates'!E:E,MATCH('2027 GSD Rate Class E-13c'!C30,'2026 Base Rates'!D:D,0))</f>
        <v>1.3170546158112001E-2</v>
      </c>
      <c r="L30" s="8"/>
      <c r="M30" s="32">
        <f t="shared" si="9"/>
        <v>6073319.2647312209</v>
      </c>
      <c r="N30" s="8"/>
      <c r="O30" s="57"/>
      <c r="P30" s="33">
        <f>+INDEX('2025 Billing Determinants'!B:B,MATCH('2027 GSD Rate Class E-13c'!B30,'2025 Billing Determinants'!A:A,0))</f>
        <v>461128885</v>
      </c>
      <c r="Q30" s="32" t="s">
        <v>710</v>
      </c>
      <c r="R30" s="48">
        <f t="shared" si="6"/>
        <v>1.3700779409147108E-2</v>
      </c>
      <c r="S30" s="8"/>
      <c r="T30" s="32">
        <f t="shared" si="10"/>
        <v>6317825.1325709652</v>
      </c>
      <c r="U30" s="32"/>
      <c r="V30" s="32">
        <f t="shared" si="7"/>
        <v>244505.86783974431</v>
      </c>
      <c r="W30" s="41">
        <f t="shared" si="8"/>
        <v>4.0259017710402731E-2</v>
      </c>
    </row>
    <row r="31" spans="1:23" x14ac:dyDescent="0.25">
      <c r="A31" s="59"/>
      <c r="B31" s="59" t="s">
        <v>55</v>
      </c>
      <c r="C31" s="59" t="s">
        <v>502</v>
      </c>
      <c r="E31" s="57">
        <f t="shared" si="0"/>
        <v>15</v>
      </c>
      <c r="F31" s="31" t="s">
        <v>724</v>
      </c>
      <c r="G31" s="8"/>
      <c r="H31" s="8"/>
      <c r="I31" s="33">
        <f>+INDEX('2025 Billing Determinants'!B:B,MATCH('2027 GSD Rate Class E-13c'!B31,'2025 Billing Determinants'!A:A,0))</f>
        <v>53192843</v>
      </c>
      <c r="J31" s="32" t="s">
        <v>710</v>
      </c>
      <c r="K31" s="48">
        <f>+INDEX('2026 Base Rates'!E:E,MATCH('2027 GSD Rate Class E-13c'!C31,'2026 Base Rates'!D:D,0))</f>
        <v>1.3170546158112001E-2</v>
      </c>
      <c r="L31" s="8"/>
      <c r="M31" s="32">
        <f t="shared" si="9"/>
        <v>700578.79401270486</v>
      </c>
      <c r="N31" s="8"/>
      <c r="O31" s="57"/>
      <c r="P31" s="33">
        <f>+INDEX('2025 Billing Determinants'!B:B,MATCH('2027 GSD Rate Class E-13c'!B31,'2025 Billing Determinants'!A:A,0))</f>
        <v>53192843</v>
      </c>
      <c r="Q31" s="32" t="s">
        <v>710</v>
      </c>
      <c r="R31" s="48">
        <f t="shared" si="6"/>
        <v>1.3700779409147108E-2</v>
      </c>
      <c r="S31" s="8"/>
      <c r="T31" s="32">
        <f t="shared" si="10"/>
        <v>728783.40808839491</v>
      </c>
      <c r="U31" s="32"/>
      <c r="V31" s="32">
        <f t="shared" si="7"/>
        <v>28204.614075690042</v>
      </c>
      <c r="W31" s="41">
        <f t="shared" si="8"/>
        <v>4.0259017710402689E-2</v>
      </c>
    </row>
    <row r="32" spans="1:23" x14ac:dyDescent="0.25">
      <c r="A32" s="59"/>
      <c r="B32" s="59" t="s">
        <v>56</v>
      </c>
      <c r="C32" s="59" t="s">
        <v>504</v>
      </c>
      <c r="E32" s="57">
        <f t="shared" si="0"/>
        <v>16</v>
      </c>
      <c r="F32" s="31" t="s">
        <v>725</v>
      </c>
      <c r="G32" s="8"/>
      <c r="H32" s="8"/>
      <c r="I32" s="33">
        <f>+INDEX('2025 Billing Determinants'!B:B,MATCH('2027 GSD Rate Class E-13c'!B32,'2025 Billing Determinants'!A:A,0))</f>
        <v>390809</v>
      </c>
      <c r="J32" s="32" t="s">
        <v>710</v>
      </c>
      <c r="K32" s="48">
        <f>+INDEX('2026 Base Rates'!E:E,MATCH('2027 GSD Rate Class E-13c'!C32,'2026 Base Rates'!D:D,0))</f>
        <v>1.3170546158112001E-2</v>
      </c>
      <c r="L32" s="8"/>
      <c r="M32" s="32">
        <f t="shared" si="9"/>
        <v>5147.1679735055932</v>
      </c>
      <c r="N32" s="8"/>
      <c r="O32" s="57"/>
      <c r="P32" s="33">
        <f>+INDEX('2025 Billing Determinants'!B:B,MATCH('2027 GSD Rate Class E-13c'!B32,'2025 Billing Determinants'!A:A,0))</f>
        <v>390809</v>
      </c>
      <c r="Q32" s="32" t="s">
        <v>710</v>
      </c>
      <c r="R32" s="48">
        <f t="shared" si="6"/>
        <v>1.3700779409147108E-2</v>
      </c>
      <c r="S32" s="8"/>
      <c r="T32" s="32">
        <f t="shared" si="10"/>
        <v>5354.3879001093719</v>
      </c>
      <c r="U32" s="8"/>
      <c r="V32" s="32">
        <f t="shared" si="7"/>
        <v>207.21992660377873</v>
      </c>
      <c r="W32" s="41">
        <f t="shared" si="8"/>
        <v>4.0259017710402599E-2</v>
      </c>
    </row>
    <row r="33" spans="1:23" x14ac:dyDescent="0.25">
      <c r="A33" s="59"/>
      <c r="B33" s="59" t="s">
        <v>58</v>
      </c>
      <c r="C33" s="59" t="s">
        <v>503</v>
      </c>
      <c r="E33" s="57">
        <f t="shared" si="0"/>
        <v>17</v>
      </c>
      <c r="F33" s="31" t="s">
        <v>726</v>
      </c>
      <c r="G33" s="8"/>
      <c r="H33" s="8"/>
      <c r="I33" s="33">
        <f>+INDEX('2025 Billing Determinants'!B:B,MATCH('2027 GSD Rate Class E-13c'!B33,'2025 Billing Determinants'!A:A,0))</f>
        <v>773068763</v>
      </c>
      <c r="J33" s="32" t="s">
        <v>710</v>
      </c>
      <c r="K33" s="48">
        <f>+INDEX('2026 Base Rates'!E:E,MATCH('2027 GSD Rate Class E-13c'!C33,'2026 Base Rates'!D:D,0))</f>
        <v>8.6574729089519999E-3</v>
      </c>
      <c r="L33" s="8"/>
      <c r="M33" s="32">
        <f t="shared" si="9"/>
        <v>6692821.8724295339</v>
      </c>
      <c r="N33" s="8"/>
      <c r="O33" s="57"/>
      <c r="P33" s="33">
        <f>+INDEX('2025 Billing Determinants'!B:B,MATCH('2027 GSD Rate Class E-13c'!B33,'2025 Billing Determinants'!A:A,0))</f>
        <v>773068763</v>
      </c>
      <c r="Q33" s="32" t="s">
        <v>710</v>
      </c>
      <c r="R33" s="48">
        <f t="shared" si="6"/>
        <v>9.0060142641208308E-3</v>
      </c>
      <c r="S33" s="8"/>
      <c r="T33" s="32">
        <f t="shared" si="10"/>
        <v>6962268.3067242457</v>
      </c>
      <c r="U33" s="32"/>
      <c r="V33" s="32">
        <f t="shared" si="7"/>
        <v>269446.4342947118</v>
      </c>
      <c r="W33" s="41">
        <f t="shared" si="8"/>
        <v>4.0259017710402793E-2</v>
      </c>
    </row>
    <row r="34" spans="1:23" x14ac:dyDescent="0.25">
      <c r="A34" s="59"/>
      <c r="B34" s="59" t="s">
        <v>59</v>
      </c>
      <c r="C34" s="59" t="s">
        <v>505</v>
      </c>
      <c r="E34" s="57">
        <f t="shared" si="0"/>
        <v>18</v>
      </c>
      <c r="F34" s="31" t="s">
        <v>727</v>
      </c>
      <c r="G34" s="35"/>
      <c r="H34" s="31"/>
      <c r="I34" s="33">
        <f>+INDEX('2025 Billing Determinants'!B:B,MATCH('2027 GSD Rate Class E-13c'!B34,'2025 Billing Determinants'!A:A,0))</f>
        <v>89852657</v>
      </c>
      <c r="J34" s="32" t="s">
        <v>710</v>
      </c>
      <c r="K34" s="48">
        <f>+INDEX('2026 Base Rates'!E:E,MATCH('2027 GSD Rate Class E-13c'!C34,'2026 Base Rates'!D:D,0))</f>
        <v>8.6574729089519999E-3</v>
      </c>
      <c r="L34" s="32"/>
      <c r="M34" s="32">
        <f t="shared" si="9"/>
        <v>777896.94377485628</v>
      </c>
      <c r="N34" s="32"/>
      <c r="O34" s="42"/>
      <c r="P34" s="33">
        <f>+INDEX('2025 Billing Determinants'!B:B,MATCH('2027 GSD Rate Class E-13c'!B34,'2025 Billing Determinants'!A:A,0))</f>
        <v>89852657</v>
      </c>
      <c r="Q34" s="32" t="s">
        <v>710</v>
      </c>
      <c r="R34" s="48">
        <f t="shared" si="6"/>
        <v>9.0060142641208308E-3</v>
      </c>
      <c r="S34" s="32"/>
      <c r="T34" s="32">
        <f t="shared" si="10"/>
        <v>809214.3106111564</v>
      </c>
      <c r="U34" s="8"/>
      <c r="V34" s="32">
        <f t="shared" si="7"/>
        <v>31317.36683630012</v>
      </c>
      <c r="W34" s="41">
        <f t="shared" si="8"/>
        <v>4.0259017710402759E-2</v>
      </c>
    </row>
    <row r="35" spans="1:23" x14ac:dyDescent="0.25">
      <c r="A35" s="59"/>
      <c r="B35" s="59" t="s">
        <v>60</v>
      </c>
      <c r="C35" s="59" t="s">
        <v>506</v>
      </c>
      <c r="E35" s="57">
        <f t="shared" si="0"/>
        <v>19</v>
      </c>
      <c r="F35" s="31" t="s">
        <v>728</v>
      </c>
      <c r="G35" s="8"/>
      <c r="H35" s="8"/>
      <c r="I35" s="33">
        <f>+INDEX('2025 Billing Determinants'!B:B,MATCH('2027 GSD Rate Class E-13c'!B35,'2025 Billing Determinants'!A:A,0))</f>
        <v>655969</v>
      </c>
      <c r="J35" s="32" t="s">
        <v>710</v>
      </c>
      <c r="K35" s="48">
        <f>+INDEX('2026 Base Rates'!E:E,MATCH('2027 GSD Rate Class E-13c'!C35,'2026 Base Rates'!D:D,0))</f>
        <v>8.6574729089519999E-3</v>
      </c>
      <c r="L35" s="8"/>
      <c r="M35" s="32">
        <f t="shared" si="9"/>
        <v>5679.0338466123339</v>
      </c>
      <c r="N35" s="8"/>
      <c r="O35" s="57"/>
      <c r="P35" s="33">
        <f>+INDEX('2025 Billing Determinants'!B:B,MATCH('2027 GSD Rate Class E-13c'!B35,'2025 Billing Determinants'!A:A,0))</f>
        <v>655969</v>
      </c>
      <c r="Q35" s="32" t="s">
        <v>710</v>
      </c>
      <c r="R35" s="48">
        <f t="shared" si="6"/>
        <v>9.0060142641208308E-3</v>
      </c>
      <c r="S35" s="8"/>
      <c r="T35" s="32">
        <f t="shared" si="10"/>
        <v>5907.6661708210777</v>
      </c>
      <c r="U35" s="8"/>
      <c r="V35" s="32">
        <f t="shared" si="7"/>
        <v>228.63232420874374</v>
      </c>
      <c r="W35" s="41">
        <f t="shared" si="8"/>
        <v>4.0259017710402953E-2</v>
      </c>
    </row>
    <row r="36" spans="1:23" x14ac:dyDescent="0.25">
      <c r="B36" s="59" t="s">
        <v>892</v>
      </c>
      <c r="C36" s="59" t="s">
        <v>1234</v>
      </c>
      <c r="E36" s="57">
        <f t="shared" si="0"/>
        <v>20</v>
      </c>
      <c r="F36" s="31" t="s">
        <v>1266</v>
      </c>
      <c r="G36" s="8"/>
      <c r="H36" s="8"/>
      <c r="I36" s="33">
        <f>+INDEX('2025 Billing Determinants'!B:B,MATCH('2027 GSD Rate Class E-13c'!B36,'2025 Billing Determinants'!A:A,0))</f>
        <v>674799755</v>
      </c>
      <c r="J36" s="32" t="s">
        <v>710</v>
      </c>
      <c r="K36" s="48">
        <f>+INDEX('2026 Base Rates'!E:E,MATCH('2027 GSD Rate Class E-13c'!C36,'2026 Base Rates'!D:D,0))</f>
        <v>4.8859844659920005E-3</v>
      </c>
      <c r="L36" s="8"/>
      <c r="M36" s="32">
        <f t="shared" ref="M36:M39" si="11">+I36*K36</f>
        <v>3297061.1205852078</v>
      </c>
      <c r="N36" s="8"/>
      <c r="O36" s="57"/>
      <c r="P36" s="33">
        <f>+INDEX('2025 Billing Determinants'!B:B,MATCH('2027 GSD Rate Class E-13c'!B36,'2025 Billing Determinants'!A:A,0))</f>
        <v>674799755</v>
      </c>
      <c r="Q36" s="32" t="s">
        <v>710</v>
      </c>
      <c r="R36" s="48">
        <f t="shared" si="6"/>
        <v>5.0826894011411251E-3</v>
      </c>
      <c r="S36" s="8"/>
      <c r="T36" s="32">
        <f t="shared" ref="T36:T38" si="12">+P36*R36</f>
        <v>3429797.5626311279</v>
      </c>
      <c r="U36" s="8"/>
      <c r="V36" s="32">
        <f t="shared" ref="V36:V38" si="13">+T36-M36</f>
        <v>132736.44204592006</v>
      </c>
      <c r="W36" s="143">
        <f>+IFERROR(IF(V36=0,0,(T36-M36)/M36),"New Rate")</f>
        <v>4.0259017710402703E-2</v>
      </c>
    </row>
    <row r="37" spans="1:23" x14ac:dyDescent="0.25">
      <c r="B37" s="59" t="s">
        <v>893</v>
      </c>
      <c r="C37" s="59" t="s">
        <v>1235</v>
      </c>
      <c r="E37" s="57">
        <f t="shared" si="0"/>
        <v>21</v>
      </c>
      <c r="F37" s="31" t="s">
        <v>1267</v>
      </c>
      <c r="G37" s="8"/>
      <c r="H37" s="8"/>
      <c r="I37" s="33">
        <f>+INDEX('2025 Billing Determinants'!B:B,MATCH('2027 GSD Rate Class E-13c'!B37,'2025 Billing Determinants'!A:A,0))</f>
        <v>78430994</v>
      </c>
      <c r="J37" s="32" t="s">
        <v>710</v>
      </c>
      <c r="K37" s="48">
        <f>+INDEX('2026 Base Rates'!E:E,MATCH('2027 GSD Rate Class E-13c'!C37,'2026 Base Rates'!D:D,0))</f>
        <v>4.8859844659920005E-3</v>
      </c>
      <c r="L37" s="8"/>
      <c r="M37" s="32">
        <f t="shared" si="11"/>
        <v>383212.61833631177</v>
      </c>
      <c r="N37" s="8"/>
      <c r="O37" s="57"/>
      <c r="P37" s="33">
        <f>+INDEX('2025 Billing Determinants'!B:B,MATCH('2027 GSD Rate Class E-13c'!B37,'2025 Billing Determinants'!A:A,0))</f>
        <v>78430994</v>
      </c>
      <c r="Q37" s="32" t="s">
        <v>710</v>
      </c>
      <c r="R37" s="48">
        <f t="shared" si="6"/>
        <v>5.0826894011411251E-3</v>
      </c>
      <c r="S37" s="8"/>
      <c r="T37" s="32">
        <f t="shared" si="12"/>
        <v>398640.38192476321</v>
      </c>
      <c r="U37" s="8"/>
      <c r="V37" s="32">
        <f t="shared" si="13"/>
        <v>15427.763588451431</v>
      </c>
      <c r="W37" s="143">
        <f t="shared" ref="W37:W38" si="14">+IFERROR(IF(V37=0,0,(T37-M37)/M37),"New Rate")</f>
        <v>4.025901771040287E-2</v>
      </c>
    </row>
    <row r="38" spans="1:23" x14ac:dyDescent="0.25">
      <c r="B38" s="59" t="s">
        <v>894</v>
      </c>
      <c r="C38" s="59" t="s">
        <v>1236</v>
      </c>
      <c r="E38" s="57">
        <f t="shared" si="0"/>
        <v>22</v>
      </c>
      <c r="F38" s="31" t="s">
        <v>1268</v>
      </c>
      <c r="G38" s="8"/>
      <c r="H38" s="8"/>
      <c r="I38" s="33">
        <f>+INDEX('2025 Billing Determinants'!B:B,MATCH('2027 GSD Rate Class E-13c'!B38,'2025 Billing Determinants'!A:A,0))</f>
        <v>572587</v>
      </c>
      <c r="J38" s="32" t="s">
        <v>710</v>
      </c>
      <c r="K38" s="48">
        <f>+INDEX('2026 Base Rates'!E:E,MATCH('2027 GSD Rate Class E-13c'!C38,'2026 Base Rates'!D:D,0))</f>
        <v>4.8859844659920005E-3</v>
      </c>
      <c r="L38" s="8"/>
      <c r="M38" s="32">
        <f t="shared" si="11"/>
        <v>2797.6511874289617</v>
      </c>
      <c r="N38" s="8"/>
      <c r="O38" s="57"/>
      <c r="P38" s="33">
        <f>+INDEX('2025 Billing Determinants'!B:B,MATCH('2027 GSD Rate Class E-13c'!B38,'2025 Billing Determinants'!A:A,0))</f>
        <v>572587</v>
      </c>
      <c r="Q38" s="32" t="s">
        <v>710</v>
      </c>
      <c r="R38" s="48">
        <f t="shared" si="6"/>
        <v>5.0826894011411251E-3</v>
      </c>
      <c r="S38" s="8"/>
      <c r="T38" s="32">
        <f t="shared" si="12"/>
        <v>2910.2818761311933</v>
      </c>
      <c r="U38" s="8"/>
      <c r="V38" s="32">
        <f t="shared" si="13"/>
        <v>112.63068870223151</v>
      </c>
      <c r="W38" s="143">
        <f t="shared" si="14"/>
        <v>4.0259017710402627E-2</v>
      </c>
    </row>
    <row r="39" spans="1:23" x14ac:dyDescent="0.25">
      <c r="A39" s="59"/>
      <c r="B39" s="59" t="s">
        <v>302</v>
      </c>
      <c r="C39" s="59" t="s">
        <v>1263</v>
      </c>
      <c r="E39" s="57">
        <f t="shared" si="0"/>
        <v>23</v>
      </c>
      <c r="F39" s="193" t="s">
        <v>1260</v>
      </c>
      <c r="I39" s="33">
        <f>+INDEX('2025 Billing Determinants'!B:B,MATCH('2027 GSD Rate Class E-13c'!B39,'2025 Billing Determinants'!A:A,0))</f>
        <v>14948840</v>
      </c>
      <c r="J39" s="32" t="s">
        <v>710</v>
      </c>
      <c r="K39" s="48">
        <v>6.3E-2</v>
      </c>
      <c r="M39" s="32">
        <f t="shared" si="11"/>
        <v>941776.92</v>
      </c>
      <c r="P39" s="33">
        <f>+INDEX('2025 Billing Determinants'!B:B,MATCH('2027 GSD Rate Class E-13c'!B39,'2025 Billing Determinants'!A:A,0))</f>
        <v>14948840</v>
      </c>
      <c r="Q39" s="32" t="s">
        <v>710</v>
      </c>
      <c r="R39" s="48">
        <f>+K39</f>
        <v>6.3E-2</v>
      </c>
      <c r="T39" s="32">
        <f t="shared" ref="T39" si="15">+P39*R39</f>
        <v>941776.92</v>
      </c>
      <c r="U39" s="8"/>
      <c r="V39" s="32">
        <f t="shared" ref="V39" si="16">+T39-M39</f>
        <v>0</v>
      </c>
      <c r="W39" s="41">
        <f t="shared" ref="W39" si="17">+IF(V39=0,0,(T39-M39)/M39)</f>
        <v>0</v>
      </c>
    </row>
    <row r="40" spans="1:23" x14ac:dyDescent="0.25">
      <c r="A40" s="59"/>
      <c r="B40" s="59"/>
      <c r="C40" s="146"/>
      <c r="E40" s="57">
        <f t="shared" si="0"/>
        <v>24</v>
      </c>
      <c r="F40" s="71" t="s">
        <v>335</v>
      </c>
      <c r="G40" s="35"/>
      <c r="H40" s="8"/>
      <c r="I40" s="102">
        <f>+SUM(I27:I38)</f>
        <v>6732298086</v>
      </c>
      <c r="J40" s="32" t="s">
        <v>710</v>
      </c>
      <c r="K40" s="32"/>
      <c r="L40" s="32"/>
      <c r="M40" s="101">
        <f>+SUM(M27:M39)</f>
        <v>56542611.098742634</v>
      </c>
      <c r="N40" s="32"/>
      <c r="O40" s="42"/>
      <c r="P40" s="102">
        <f>+SUM(P27:P38)</f>
        <v>6732298086</v>
      </c>
      <c r="Q40" s="32" t="s">
        <v>710</v>
      </c>
      <c r="R40" s="32"/>
      <c r="S40" s="32"/>
      <c r="T40" s="101">
        <f>+SUM(T27:T39)</f>
        <v>58781046.066657804</v>
      </c>
      <c r="U40" s="8"/>
      <c r="V40" s="32">
        <f>+T40-M40</f>
        <v>2238434.9679151699</v>
      </c>
      <c r="W40" s="41">
        <f>+IF(V40=0,0,(T40-M40)/M40)</f>
        <v>3.9588461240428058E-2</v>
      </c>
    </row>
    <row r="41" spans="1:23" x14ac:dyDescent="0.25">
      <c r="A41" s="59"/>
      <c r="B41" s="59"/>
      <c r="C41" s="146"/>
      <c r="E41" s="57">
        <f t="shared" si="0"/>
        <v>25</v>
      </c>
      <c r="F41" s="8"/>
      <c r="G41" s="8"/>
      <c r="H41" s="8"/>
      <c r="I41" s="8"/>
      <c r="J41" s="8"/>
      <c r="K41" s="8"/>
      <c r="L41" s="8"/>
      <c r="M41" s="33"/>
      <c r="N41" s="8"/>
      <c r="O41" s="57"/>
      <c r="P41" s="8"/>
      <c r="Q41" s="8"/>
      <c r="R41" s="8"/>
      <c r="S41" s="8"/>
      <c r="T41" s="33"/>
      <c r="U41" s="8"/>
      <c r="V41" s="8"/>
      <c r="W41" s="8"/>
    </row>
    <row r="42" spans="1:23" x14ac:dyDescent="0.25">
      <c r="A42" s="59"/>
      <c r="B42" s="59"/>
      <c r="C42" s="146"/>
      <c r="E42" s="57">
        <f t="shared" si="0"/>
        <v>26</v>
      </c>
      <c r="F42" s="8" t="s">
        <v>379</v>
      </c>
      <c r="G42" s="35"/>
      <c r="H42" s="8"/>
      <c r="I42" s="8"/>
      <c r="J42" s="32"/>
      <c r="K42" s="32"/>
      <c r="L42" s="32"/>
      <c r="M42" s="52"/>
      <c r="N42" s="32"/>
      <c r="O42" s="42"/>
      <c r="P42" s="32"/>
      <c r="Q42" s="32"/>
      <c r="R42" s="32"/>
      <c r="S42" s="32"/>
      <c r="T42" s="52"/>
      <c r="U42" s="32"/>
      <c r="V42" s="32"/>
      <c r="W42" s="53"/>
    </row>
    <row r="43" spans="1:23" x14ac:dyDescent="0.25">
      <c r="A43" s="59" t="s">
        <v>8</v>
      </c>
      <c r="B43" s="59" t="s">
        <v>30</v>
      </c>
      <c r="C43" s="59" t="s">
        <v>512</v>
      </c>
      <c r="E43" s="57">
        <f t="shared" si="0"/>
        <v>27</v>
      </c>
      <c r="F43" s="31" t="s">
        <v>363</v>
      </c>
      <c r="G43" s="8"/>
      <c r="H43" s="8"/>
      <c r="I43" s="32">
        <f>+INDEX('2025 Billing Determinants'!B:B,MATCH('2027 GSD Rate Class E-13c'!A43,'2025 Billing Determinants'!A:A,0))+INDEX('2025 Billing Determinants'!B:B,MATCH('2027 GSD Rate Class E-13c'!B43,'2025 Billing Determinants'!A:A,0))</f>
        <v>11944362.060000001</v>
      </c>
      <c r="J43" s="32" t="s">
        <v>729</v>
      </c>
      <c r="K43" s="39">
        <f>+INDEX('2026 Base Rates'!E:E,MATCH('2027 GSD Rate Class E-13c'!C43,'2026 Base Rates'!D:D,0))</f>
        <v>20.785255033525459</v>
      </c>
      <c r="L43" s="32"/>
      <c r="M43" s="32">
        <f t="shared" ref="M43:M51" si="18">+I43*K43</f>
        <v>248266611.62986553</v>
      </c>
      <c r="N43" s="32"/>
      <c r="O43" s="42"/>
      <c r="P43" s="32">
        <f>+INDEX('2025 Billing Determinants'!B:B,MATCH('2027 GSD Rate Class E-13c'!A43,'2025 Billing Determinants'!A:A,0))+INDEX('2025 Billing Determinants'!B:B,MATCH('2027 GSD Rate Class E-13c'!B43,'2025 Billing Determinants'!A:A,0))</f>
        <v>11944362.060000001</v>
      </c>
      <c r="Q43" s="32" t="s">
        <v>729</v>
      </c>
      <c r="R43" s="39">
        <f t="shared" ref="R43:R51" si="19">+K43*(1+$C$7)</f>
        <v>21.622048984035398</v>
      </c>
      <c r="S43" s="32"/>
      <c r="T43" s="32">
        <f t="shared" ref="T43:T51" si="20">+P43*R43</f>
        <v>258261581.54437396</v>
      </c>
      <c r="U43" s="198"/>
      <c r="V43" s="32">
        <f t="shared" ref="V43:V52" si="21">+T43-M43</f>
        <v>9994969.9145084321</v>
      </c>
      <c r="W43" s="41">
        <f t="shared" ref="W43:W52" si="22">+IF(V43=0,0,(T43-M43)/M43)</f>
        <v>4.0259017710402731E-2</v>
      </c>
    </row>
    <row r="44" spans="1:23" x14ac:dyDescent="0.25">
      <c r="A44" s="59"/>
      <c r="B44" s="59" t="s">
        <v>31</v>
      </c>
      <c r="C44" s="59" t="s">
        <v>507</v>
      </c>
      <c r="E44" s="57">
        <f t="shared" si="0"/>
        <v>28</v>
      </c>
      <c r="F44" s="31" t="s">
        <v>364</v>
      </c>
      <c r="G44" s="35"/>
      <c r="H44" s="31"/>
      <c r="I44" s="33">
        <f>+INDEX('2025 Billing Determinants'!B:B,MATCH('2027 GSD Rate Class E-13c'!B44,'2025 Billing Determinants'!A:A,0))</f>
        <v>186303</v>
      </c>
      <c r="J44" s="32" t="s">
        <v>729</v>
      </c>
      <c r="K44" s="39">
        <f>+INDEX('2026 Base Rates'!E:E,MATCH('2027 GSD Rate Class E-13c'!C44,'2026 Base Rates'!D:D,0))</f>
        <v>20.785255033525459</v>
      </c>
      <c r="L44" s="32"/>
      <c r="M44" s="32">
        <f t="shared" si="18"/>
        <v>3872355.3685108935</v>
      </c>
      <c r="N44" s="32"/>
      <c r="O44" s="42"/>
      <c r="P44" s="33">
        <f>+INDEX('2025 Billing Determinants'!B:B,MATCH('2027 GSD Rate Class E-13c'!B44,'2025 Billing Determinants'!A:A,0))</f>
        <v>186303</v>
      </c>
      <c r="Q44" s="32" t="s">
        <v>729</v>
      </c>
      <c r="R44" s="39">
        <f t="shared" si="19"/>
        <v>21.622048984035398</v>
      </c>
      <c r="S44" s="32"/>
      <c r="T44" s="32">
        <f t="shared" si="20"/>
        <v>4028252.5918727471</v>
      </c>
      <c r="U44" s="8"/>
      <c r="V44" s="32">
        <f t="shared" si="21"/>
        <v>155897.22336185351</v>
      </c>
      <c r="W44" s="41">
        <f t="shared" si="22"/>
        <v>4.0259017710402821E-2</v>
      </c>
    </row>
    <row r="45" spans="1:23" x14ac:dyDescent="0.25">
      <c r="A45" s="59"/>
      <c r="B45" s="59" t="s">
        <v>32</v>
      </c>
      <c r="C45" s="59" t="s">
        <v>508</v>
      </c>
      <c r="E45" s="57">
        <f t="shared" si="0"/>
        <v>29</v>
      </c>
      <c r="F45" s="193" t="s">
        <v>719</v>
      </c>
      <c r="G45" s="8"/>
      <c r="H45" s="8"/>
      <c r="I45" s="33">
        <f>+INDEX('2025 Billing Determinants'!B:B,MATCH('2027 GSD Rate Class E-13c'!B45,'2025 Billing Determinants'!A:A,0))</f>
        <v>0</v>
      </c>
      <c r="J45" s="32" t="s">
        <v>729</v>
      </c>
      <c r="K45" s="39">
        <f>+INDEX('2026 Base Rates'!E:E,MATCH('2027 GSD Rate Class E-13c'!C45,'2026 Base Rates'!D:D,0))</f>
        <v>20.785255033525459</v>
      </c>
      <c r="L45" s="8"/>
      <c r="M45" s="32">
        <f t="shared" si="18"/>
        <v>0</v>
      </c>
      <c r="N45" s="8"/>
      <c r="O45" s="57"/>
      <c r="P45" s="33">
        <f>+INDEX('2025 Billing Determinants'!B:B,MATCH('2027 GSD Rate Class E-13c'!B45,'2025 Billing Determinants'!A:A,0))</f>
        <v>0</v>
      </c>
      <c r="Q45" s="32" t="s">
        <v>729</v>
      </c>
      <c r="R45" s="39">
        <f t="shared" si="19"/>
        <v>21.622048984035398</v>
      </c>
      <c r="S45" s="8"/>
      <c r="T45" s="32">
        <f t="shared" si="20"/>
        <v>0</v>
      </c>
      <c r="U45" s="8"/>
      <c r="V45" s="32">
        <f t="shared" si="21"/>
        <v>0</v>
      </c>
      <c r="W45" s="41">
        <f t="shared" si="22"/>
        <v>0</v>
      </c>
    </row>
    <row r="46" spans="1:23" x14ac:dyDescent="0.25">
      <c r="A46" s="59"/>
      <c r="B46" s="59" t="s">
        <v>62</v>
      </c>
      <c r="C46" s="59" t="s">
        <v>821</v>
      </c>
      <c r="E46" s="57">
        <f t="shared" si="0"/>
        <v>30</v>
      </c>
      <c r="F46" s="31" t="s">
        <v>380</v>
      </c>
      <c r="G46" s="8"/>
      <c r="H46" s="8"/>
      <c r="I46" s="33">
        <f>+INDEX('2025 Billing Determinants'!B:B,MATCH('2027 GSD Rate Class E-13c'!B46,'2025 Billing Determinants'!A:A,0))</f>
        <v>3559503</v>
      </c>
      <c r="J46" s="32" t="s">
        <v>729</v>
      </c>
      <c r="K46" s="39">
        <f>+INDEX('2026 Base Rates'!E:E,MATCH('2027 GSD Rate Class E-13c'!C46,'2026 Base Rates'!D:D,0))</f>
        <v>5.3392890337040271</v>
      </c>
      <c r="L46" s="32"/>
      <c r="M46" s="32">
        <f t="shared" si="18"/>
        <v>19005215.333336584</v>
      </c>
      <c r="N46" s="32"/>
      <c r="O46" s="42"/>
      <c r="P46" s="33">
        <f>+INDEX('2025 Billing Determinants'!B:B,MATCH('2027 GSD Rate Class E-13c'!B46,'2025 Billing Determinants'!A:A,0))</f>
        <v>3559503</v>
      </c>
      <c r="Q46" s="32" t="s">
        <v>729</v>
      </c>
      <c r="R46" s="39">
        <f t="shared" si="19"/>
        <v>5.554243565472877</v>
      </c>
      <c r="S46" s="32"/>
      <c r="T46" s="32">
        <f t="shared" si="20"/>
        <v>19770346.634031404</v>
      </c>
      <c r="U46" s="8"/>
      <c r="V46" s="32">
        <f t="shared" si="21"/>
        <v>765131.30069481954</v>
      </c>
      <c r="W46" s="41">
        <f t="shared" si="22"/>
        <v>4.0259017710402967E-2</v>
      </c>
    </row>
    <row r="47" spans="1:23" x14ac:dyDescent="0.25">
      <c r="A47" s="59"/>
      <c r="B47" s="59" t="s">
        <v>63</v>
      </c>
      <c r="C47" s="59" t="s">
        <v>822</v>
      </c>
      <c r="E47" s="57">
        <f t="shared" si="0"/>
        <v>31</v>
      </c>
      <c r="F47" s="31" t="s">
        <v>381</v>
      </c>
      <c r="G47" s="8"/>
      <c r="H47" s="8"/>
      <c r="I47" s="33">
        <f>+INDEX('2025 Billing Determinants'!B:B,MATCH('2027 GSD Rate Class E-13c'!B47,'2025 Billing Determinants'!A:A,0))</f>
        <v>434239</v>
      </c>
      <c r="J47" s="32" t="s">
        <v>729</v>
      </c>
      <c r="K47" s="39">
        <f>+INDEX('2026 Base Rates'!E:E,MATCH('2027 GSD Rate Class E-13c'!C47,'2026 Base Rates'!D:D,0))</f>
        <v>5.3392890337040271</v>
      </c>
      <c r="L47" s="32"/>
      <c r="M47" s="32">
        <f t="shared" si="18"/>
        <v>2318527.5307066031</v>
      </c>
      <c r="N47" s="32"/>
      <c r="O47" s="42"/>
      <c r="P47" s="33">
        <f>+INDEX('2025 Billing Determinants'!B:B,MATCH('2027 GSD Rate Class E-13c'!B47,'2025 Billing Determinants'!A:A,0))</f>
        <v>434239</v>
      </c>
      <c r="Q47" s="32" t="s">
        <v>729</v>
      </c>
      <c r="R47" s="39">
        <f t="shared" si="19"/>
        <v>5.554243565472877</v>
      </c>
      <c r="S47" s="32"/>
      <c r="T47" s="32">
        <f t="shared" si="20"/>
        <v>2411869.1716273767</v>
      </c>
      <c r="U47" s="8"/>
      <c r="V47" s="32">
        <f t="shared" si="21"/>
        <v>93341.640920773614</v>
      </c>
      <c r="W47" s="41">
        <f t="shared" si="22"/>
        <v>4.0259017710402807E-2</v>
      </c>
    </row>
    <row r="48" spans="1:23" x14ac:dyDescent="0.25">
      <c r="A48" s="59"/>
      <c r="B48" s="59" t="s">
        <v>64</v>
      </c>
      <c r="C48" s="59" t="s">
        <v>823</v>
      </c>
      <c r="E48" s="57">
        <f t="shared" si="0"/>
        <v>32</v>
      </c>
      <c r="F48" s="31" t="s">
        <v>730</v>
      </c>
      <c r="G48" s="8"/>
      <c r="H48" s="8"/>
      <c r="I48" s="33">
        <f>+INDEX('2025 Billing Determinants'!B:B,MATCH('2027 GSD Rate Class E-13c'!B48,'2025 Billing Determinants'!A:A,0))</f>
        <v>4837</v>
      </c>
      <c r="J48" s="32" t="s">
        <v>729</v>
      </c>
      <c r="K48" s="39">
        <f>+INDEX('2026 Base Rates'!E:E,MATCH('2027 GSD Rate Class E-13c'!C48,'2026 Base Rates'!D:D,0))</f>
        <v>5.3392890337040271</v>
      </c>
      <c r="L48" s="8"/>
      <c r="M48" s="32">
        <f t="shared" si="18"/>
        <v>25826.141056026379</v>
      </c>
      <c r="N48" s="8"/>
      <c r="O48" s="57"/>
      <c r="P48" s="33">
        <f>+INDEX('2025 Billing Determinants'!B:B,MATCH('2027 GSD Rate Class E-13c'!B48,'2025 Billing Determinants'!A:A,0))</f>
        <v>4837</v>
      </c>
      <c r="Q48" s="32" t="s">
        <v>729</v>
      </c>
      <c r="R48" s="39">
        <f t="shared" si="19"/>
        <v>5.554243565472877</v>
      </c>
      <c r="S48" s="8"/>
      <c r="T48" s="32">
        <f t="shared" si="20"/>
        <v>26865.876126192306</v>
      </c>
      <c r="U48" s="8"/>
      <c r="V48" s="32">
        <f t="shared" si="21"/>
        <v>1039.735070165927</v>
      </c>
      <c r="W48" s="41">
        <f t="shared" si="22"/>
        <v>4.0259017710402807E-2</v>
      </c>
    </row>
    <row r="49" spans="1:23" x14ac:dyDescent="0.25">
      <c r="A49" s="59"/>
      <c r="B49" s="59" t="s">
        <v>66</v>
      </c>
      <c r="C49" s="59" t="s">
        <v>824</v>
      </c>
      <c r="E49" s="57">
        <f t="shared" si="0"/>
        <v>33</v>
      </c>
      <c r="F49" s="31" t="s">
        <v>383</v>
      </c>
      <c r="G49" s="8"/>
      <c r="H49" s="8"/>
      <c r="I49" s="33">
        <f>+INDEX('2025 Billing Determinants'!B:B,MATCH('2027 GSD Rate Class E-13c'!B49,'2025 Billing Determinants'!A:A,0))</f>
        <v>3433354</v>
      </c>
      <c r="J49" s="32" t="s">
        <v>731</v>
      </c>
      <c r="K49" s="39">
        <f>+INDEX('2026 Base Rates'!E:E,MATCH('2027 GSD Rate Class E-13c'!C49,'2026 Base Rates'!D:D,0))</f>
        <v>15.445965999821432</v>
      </c>
      <c r="L49" s="32"/>
      <c r="M49" s="32">
        <f t="shared" si="18"/>
        <v>53031469.149350911</v>
      </c>
      <c r="N49" s="32"/>
      <c r="O49" s="42"/>
      <c r="P49" s="33">
        <f>+INDEX('2025 Billing Determinants'!B:B,MATCH('2027 GSD Rate Class E-13c'!B49,'2025 Billing Determinants'!A:A,0))</f>
        <v>3433354</v>
      </c>
      <c r="Q49" s="32" t="s">
        <v>731</v>
      </c>
      <c r="R49" s="39">
        <f t="shared" si="19"/>
        <v>16.067805418562521</v>
      </c>
      <c r="S49" s="32"/>
      <c r="T49" s="32">
        <f t="shared" si="20"/>
        <v>55166464.005043305</v>
      </c>
      <c r="U49" s="8"/>
      <c r="V49" s="32">
        <f t="shared" si="21"/>
        <v>2134994.8556923941</v>
      </c>
      <c r="W49" s="41">
        <f t="shared" si="22"/>
        <v>4.0259017710402724E-2</v>
      </c>
    </row>
    <row r="50" spans="1:23" x14ac:dyDescent="0.25">
      <c r="A50" s="59"/>
      <c r="B50" s="59" t="s">
        <v>67</v>
      </c>
      <c r="C50" s="59" t="s">
        <v>825</v>
      </c>
      <c r="E50" s="57">
        <f t="shared" si="0"/>
        <v>34</v>
      </c>
      <c r="F50" s="31" t="s">
        <v>384</v>
      </c>
      <c r="G50" s="35"/>
      <c r="H50" s="31"/>
      <c r="I50" s="33">
        <f>+INDEX('2025 Billing Determinants'!B:B,MATCH('2027 GSD Rate Class E-13c'!B50,'2025 Billing Determinants'!A:A,0))</f>
        <v>420406</v>
      </c>
      <c r="J50" s="32" t="s">
        <v>731</v>
      </c>
      <c r="K50" s="39">
        <f>+INDEX('2026 Base Rates'!E:E,MATCH('2027 GSD Rate Class E-13c'!C50,'2026 Base Rates'!D:D,0))</f>
        <v>15.445965999821432</v>
      </c>
      <c r="L50" s="32"/>
      <c r="M50" s="32">
        <f t="shared" si="18"/>
        <v>6493576.7821209291</v>
      </c>
      <c r="N50" s="32"/>
      <c r="O50" s="42"/>
      <c r="P50" s="33">
        <f>+INDEX('2025 Billing Determinants'!B:B,MATCH('2027 GSD Rate Class E-13c'!B50,'2025 Billing Determinants'!A:A,0))</f>
        <v>420406</v>
      </c>
      <c r="Q50" s="32" t="s">
        <v>731</v>
      </c>
      <c r="R50" s="39">
        <f t="shared" si="19"/>
        <v>16.067805418562521</v>
      </c>
      <c r="S50" s="32"/>
      <c r="T50" s="32">
        <f t="shared" si="20"/>
        <v>6755001.8047961956</v>
      </c>
      <c r="U50" s="8"/>
      <c r="V50" s="32">
        <f t="shared" si="21"/>
        <v>261425.02267526649</v>
      </c>
      <c r="W50" s="41">
        <f t="shared" si="22"/>
        <v>4.0259017710402738E-2</v>
      </c>
    </row>
    <row r="51" spans="1:23" x14ac:dyDescent="0.25">
      <c r="A51" s="59"/>
      <c r="B51" s="59" t="s">
        <v>68</v>
      </c>
      <c r="C51" s="59" t="s">
        <v>826</v>
      </c>
      <c r="E51" s="57">
        <f t="shared" si="0"/>
        <v>35</v>
      </c>
      <c r="F51" s="31" t="s">
        <v>732</v>
      </c>
      <c r="G51" s="8"/>
      <c r="H51" s="8"/>
      <c r="I51" s="33">
        <f>+INDEX('2025 Billing Determinants'!B:B,MATCH('2027 GSD Rate Class E-13c'!B51,'2025 Billing Determinants'!A:A,0))</f>
        <v>4519</v>
      </c>
      <c r="J51" s="32" t="s">
        <v>731</v>
      </c>
      <c r="K51" s="39">
        <f>+INDEX('2026 Base Rates'!E:E,MATCH('2027 GSD Rate Class E-13c'!C51,'2026 Base Rates'!D:D,0))</f>
        <v>15.445965999821432</v>
      </c>
      <c r="L51" s="8"/>
      <c r="M51" s="32">
        <f t="shared" si="18"/>
        <v>69800.320353193049</v>
      </c>
      <c r="N51" s="8"/>
      <c r="O51" s="57"/>
      <c r="P51" s="33">
        <f>+INDEX('2025 Billing Determinants'!B:B,MATCH('2027 GSD Rate Class E-13c'!B51,'2025 Billing Determinants'!A:A,0))</f>
        <v>4519</v>
      </c>
      <c r="Q51" s="32" t="s">
        <v>731</v>
      </c>
      <c r="R51" s="39">
        <f t="shared" si="19"/>
        <v>16.067805418562521</v>
      </c>
      <c r="S51" s="8"/>
      <c r="T51" s="32">
        <f t="shared" si="20"/>
        <v>72610.412686484036</v>
      </c>
      <c r="U51" s="8"/>
      <c r="V51" s="32">
        <f t="shared" si="21"/>
        <v>2810.0923332909879</v>
      </c>
      <c r="W51" s="41">
        <f t="shared" si="22"/>
        <v>4.02590177104028E-2</v>
      </c>
    </row>
    <row r="52" spans="1:23" ht="15" customHeight="1" x14ac:dyDescent="0.25">
      <c r="A52" s="59"/>
      <c r="B52" s="59"/>
      <c r="C52" s="59"/>
      <c r="E52" s="57">
        <f t="shared" si="0"/>
        <v>36</v>
      </c>
      <c r="F52" s="20" t="s">
        <v>330</v>
      </c>
      <c r="G52" s="35"/>
      <c r="H52" s="8"/>
      <c r="I52" s="102">
        <f>+SUM(I43:I48)</f>
        <v>16129244.060000001</v>
      </c>
      <c r="J52" s="32" t="s">
        <v>729</v>
      </c>
      <c r="K52" s="39"/>
      <c r="L52" s="32"/>
      <c r="M52" s="101">
        <f>+SUM(M43:M51)</f>
        <v>333083382.2553007</v>
      </c>
      <c r="N52" s="32"/>
      <c r="O52" s="42"/>
      <c r="P52" s="102">
        <f>+SUM(P43:P48)</f>
        <v>16129244.060000001</v>
      </c>
      <c r="Q52" s="32" t="s">
        <v>729</v>
      </c>
      <c r="R52" s="39"/>
      <c r="S52" s="32"/>
      <c r="T52" s="101">
        <f>+SUM(T43:T51)</f>
        <v>346492992.04055768</v>
      </c>
      <c r="U52" s="32"/>
      <c r="V52" s="32">
        <f t="shared" si="21"/>
        <v>13409609.785256982</v>
      </c>
      <c r="W52" s="41">
        <f t="shared" si="22"/>
        <v>4.0259017710402696E-2</v>
      </c>
    </row>
    <row r="53" spans="1:23" x14ac:dyDescent="0.25">
      <c r="A53" s="59"/>
      <c r="B53" s="59"/>
      <c r="C53" s="59"/>
      <c r="E53" s="57">
        <f t="shared" si="0"/>
        <v>37</v>
      </c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32"/>
      <c r="Q53" s="32"/>
      <c r="R53" s="199"/>
      <c r="S53" s="32"/>
      <c r="T53" s="32"/>
      <c r="U53" s="32"/>
      <c r="V53" s="32"/>
      <c r="W53" s="32"/>
    </row>
    <row r="54" spans="1:23" x14ac:dyDescent="0.25">
      <c r="A54" s="59"/>
      <c r="B54" s="59"/>
      <c r="C54" s="59"/>
      <c r="E54" s="57">
        <f t="shared" si="0"/>
        <v>38</v>
      </c>
      <c r="F54" s="199"/>
      <c r="G54" s="199"/>
      <c r="H54" s="199"/>
      <c r="I54" s="199"/>
      <c r="J54" s="199"/>
      <c r="K54" s="199"/>
      <c r="L54" s="199"/>
      <c r="M54" s="199"/>
      <c r="N54" s="199"/>
      <c r="O54" s="199"/>
      <c r="P54" s="32"/>
      <c r="Q54" s="32"/>
      <c r="R54" s="199"/>
      <c r="S54" s="32"/>
      <c r="T54" s="32"/>
      <c r="U54" s="32"/>
      <c r="V54" s="32"/>
      <c r="W54" s="32"/>
    </row>
    <row r="55" spans="1:23" ht="15.75" thickBot="1" x14ac:dyDescent="0.3">
      <c r="A55" s="59"/>
      <c r="B55" s="59"/>
      <c r="C55" s="59"/>
      <c r="E55" s="58">
        <f t="shared" si="0"/>
        <v>39</v>
      </c>
      <c r="F55" s="9"/>
      <c r="G55" s="9"/>
      <c r="H55" s="9"/>
      <c r="I55" s="9"/>
      <c r="J55" s="9"/>
      <c r="K55" s="9"/>
      <c r="L55" s="9"/>
      <c r="M55" s="9"/>
      <c r="N55" s="9"/>
      <c r="O55" s="58"/>
      <c r="P55" s="9"/>
      <c r="Q55" s="9"/>
      <c r="R55" s="9"/>
      <c r="S55" s="9"/>
      <c r="T55" s="9"/>
      <c r="U55" s="9"/>
      <c r="V55" s="9"/>
      <c r="W55" s="13"/>
    </row>
    <row r="56" spans="1:23" x14ac:dyDescent="0.25">
      <c r="A56" s="59"/>
      <c r="B56" s="59"/>
      <c r="C56" s="59"/>
      <c r="E56" s="8"/>
      <c r="F56" s="8"/>
      <c r="G56" s="8"/>
      <c r="H56" s="8"/>
      <c r="I56" s="8"/>
      <c r="J56" s="8"/>
      <c r="K56" s="8"/>
      <c r="L56" s="8"/>
      <c r="M56" s="8"/>
      <c r="N56" s="8"/>
      <c r="O56" s="57"/>
      <c r="P56" s="8"/>
      <c r="Q56" s="8"/>
      <c r="R56" s="8"/>
      <c r="S56" s="8"/>
      <c r="T56" s="8"/>
      <c r="U56" s="8"/>
      <c r="V56" s="8"/>
      <c r="W56" s="8" t="s">
        <v>304</v>
      </c>
    </row>
    <row r="57" spans="1:23" x14ac:dyDescent="0.25">
      <c r="A57" s="59"/>
      <c r="B57" s="59"/>
      <c r="C57" s="59"/>
      <c r="E57" s="8"/>
      <c r="F57" s="8"/>
      <c r="G57" s="8"/>
      <c r="H57" s="8"/>
      <c r="I57" s="8"/>
      <c r="J57" s="8"/>
      <c r="K57" s="8"/>
      <c r="L57" s="378"/>
      <c r="M57" s="378"/>
      <c r="N57" s="378"/>
      <c r="O57" s="378"/>
      <c r="P57" s="378"/>
      <c r="Q57" s="8"/>
      <c r="R57" s="8"/>
      <c r="S57" s="8"/>
      <c r="T57" s="8"/>
      <c r="U57" s="8"/>
      <c r="V57" s="8"/>
      <c r="W57" s="8"/>
    </row>
    <row r="58" spans="1:23" ht="15.75" thickBot="1" x14ac:dyDescent="0.3">
      <c r="A58" s="59"/>
      <c r="B58" s="59"/>
      <c r="C58" s="59"/>
      <c r="E58" s="9" t="s">
        <v>305</v>
      </c>
      <c r="F58" s="9"/>
      <c r="G58" s="9"/>
      <c r="H58" s="9"/>
      <c r="I58" s="9"/>
      <c r="J58" s="9"/>
      <c r="K58" s="9"/>
      <c r="L58" s="379" t="s">
        <v>306</v>
      </c>
      <c r="M58" s="379"/>
      <c r="N58" s="379"/>
      <c r="O58" s="379"/>
      <c r="P58" s="379"/>
      <c r="Q58" s="9"/>
      <c r="R58" s="9"/>
      <c r="S58" s="9"/>
      <c r="T58" s="9"/>
      <c r="U58" s="9"/>
      <c r="V58" s="9"/>
      <c r="W58" s="13" t="s">
        <v>877</v>
      </c>
    </row>
    <row r="59" spans="1:23" x14ac:dyDescent="0.25">
      <c r="A59" s="59"/>
      <c r="B59" s="59"/>
      <c r="C59" s="59"/>
      <c r="E59" s="8" t="s">
        <v>307</v>
      </c>
      <c r="F59" s="8"/>
      <c r="G59" s="8"/>
      <c r="H59" s="8"/>
      <c r="I59" s="8" t="s">
        <v>308</v>
      </c>
      <c r="J59" s="8" t="s">
        <v>910</v>
      </c>
      <c r="K59" s="8"/>
      <c r="L59" s="8"/>
      <c r="M59" s="8"/>
      <c r="N59" s="8"/>
      <c r="O59" s="98"/>
      <c r="P59" s="99"/>
      <c r="Q59" s="8"/>
      <c r="R59" s="8"/>
      <c r="S59" s="99"/>
      <c r="T59" s="99" t="s">
        <v>309</v>
      </c>
      <c r="U59" s="8"/>
      <c r="V59" s="8"/>
      <c r="W59" s="10"/>
    </row>
    <row r="60" spans="1:23" x14ac:dyDescent="0.25">
      <c r="A60" s="59"/>
      <c r="B60" s="59"/>
      <c r="C60" s="59"/>
      <c r="E60" s="8"/>
      <c r="F60" s="8"/>
      <c r="G60" s="8"/>
      <c r="H60" s="8"/>
      <c r="I60" s="8"/>
      <c r="J60" s="8" t="s">
        <v>911</v>
      </c>
      <c r="K60" s="8"/>
      <c r="L60" s="8"/>
      <c r="M60" s="8"/>
      <c r="N60" s="8"/>
      <c r="O60" s="57"/>
      <c r="P60" s="10"/>
      <c r="Q60" s="8"/>
      <c r="R60" s="8"/>
      <c r="S60" s="11"/>
      <c r="T60" s="117" t="s">
        <v>916</v>
      </c>
      <c r="U60" s="116" t="s">
        <v>1512</v>
      </c>
      <c r="V60" s="8"/>
      <c r="W60" s="11"/>
    </row>
    <row r="61" spans="1:23" x14ac:dyDescent="0.25">
      <c r="A61" s="59"/>
      <c r="B61" s="59"/>
      <c r="C61" s="59"/>
      <c r="E61" s="8" t="s">
        <v>310</v>
      </c>
      <c r="F61" s="8"/>
      <c r="G61" s="8"/>
      <c r="H61" s="8"/>
      <c r="I61" s="8"/>
      <c r="J61" s="8" t="s">
        <v>912</v>
      </c>
      <c r="K61" s="8"/>
      <c r="L61" s="8"/>
      <c r="M61" s="8"/>
      <c r="N61" s="8"/>
      <c r="O61" s="57"/>
      <c r="P61" s="10"/>
      <c r="Q61" s="11"/>
      <c r="R61" s="8"/>
      <c r="S61" s="8"/>
      <c r="T61" s="265"/>
      <c r="U61" s="116"/>
      <c r="V61" s="8"/>
      <c r="W61" s="11"/>
    </row>
    <row r="62" spans="1:23" x14ac:dyDescent="0.25">
      <c r="A62" s="59"/>
      <c r="B62" s="59"/>
      <c r="C62" s="59"/>
      <c r="E62" s="8"/>
      <c r="F62" s="8"/>
      <c r="G62" s="8"/>
      <c r="H62" s="8"/>
      <c r="I62" s="8"/>
      <c r="J62" s="8" t="s">
        <v>913</v>
      </c>
      <c r="K62" s="8"/>
      <c r="L62" s="8"/>
      <c r="M62" s="8"/>
      <c r="N62" s="8"/>
      <c r="O62" s="57"/>
      <c r="P62" s="10"/>
      <c r="Q62" s="11"/>
      <c r="R62" s="8"/>
      <c r="S62" s="8"/>
      <c r="T62" s="265"/>
      <c r="U62" s="116"/>
      <c r="V62" s="8"/>
      <c r="W62" s="11"/>
    </row>
    <row r="63" spans="1:23" x14ac:dyDescent="0.25">
      <c r="A63" s="59"/>
      <c r="B63" s="59"/>
      <c r="C63" s="59"/>
      <c r="E63" s="8"/>
      <c r="F63" s="8"/>
      <c r="G63" s="11"/>
      <c r="H63" s="8"/>
      <c r="I63" s="8"/>
      <c r="J63" s="8" t="s">
        <v>914</v>
      </c>
      <c r="K63" s="8"/>
      <c r="L63" s="12"/>
      <c r="M63" s="12"/>
      <c r="N63" s="12"/>
      <c r="O63" s="57"/>
      <c r="P63" s="8"/>
      <c r="Q63" s="8"/>
      <c r="R63" s="8"/>
      <c r="S63" s="8"/>
      <c r="T63" s="265"/>
      <c r="V63" s="8"/>
      <c r="W63" s="8"/>
    </row>
    <row r="64" spans="1:23" ht="15.75" thickBot="1" x14ac:dyDescent="0.3">
      <c r="A64" s="59"/>
      <c r="B64" s="59"/>
      <c r="C64" s="59"/>
      <c r="E64" s="9" t="s">
        <v>1292</v>
      </c>
      <c r="F64" s="9"/>
      <c r="G64" s="13"/>
      <c r="H64" s="14"/>
      <c r="I64" s="14"/>
      <c r="J64" s="15" t="s">
        <v>915</v>
      </c>
      <c r="K64" s="15"/>
      <c r="L64" s="14"/>
      <c r="M64" s="14"/>
      <c r="N64" s="14"/>
      <c r="O64" s="14"/>
      <c r="P64" s="14"/>
      <c r="Q64" s="14"/>
      <c r="R64" s="15"/>
      <c r="S64" s="14"/>
      <c r="T64" s="14"/>
      <c r="U64" s="114" t="s">
        <v>1519</v>
      </c>
      <c r="V64" s="14"/>
      <c r="W64" s="14"/>
    </row>
    <row r="65" spans="1:23" x14ac:dyDescent="0.25">
      <c r="A65" s="59"/>
      <c r="B65" s="59"/>
      <c r="C65" s="59"/>
      <c r="E65" s="8"/>
      <c r="F65" s="8"/>
      <c r="G65" s="8"/>
      <c r="H65" s="8"/>
      <c r="I65" s="12"/>
      <c r="J65" s="8"/>
      <c r="K65" s="12"/>
      <c r="L65" s="16"/>
      <c r="M65" s="12"/>
      <c r="N65" s="8"/>
      <c r="O65" s="12"/>
      <c r="P65" s="8"/>
      <c r="Q65" s="16"/>
      <c r="R65" s="12"/>
      <c r="S65" s="8"/>
      <c r="T65" s="8"/>
      <c r="U65" s="8"/>
      <c r="V65" s="8"/>
      <c r="W65" s="8"/>
    </row>
    <row r="66" spans="1:23" x14ac:dyDescent="0.25">
      <c r="A66" s="59"/>
      <c r="B66" s="59"/>
      <c r="C66" s="59"/>
      <c r="E66" s="8"/>
      <c r="F66" s="8"/>
      <c r="G66" s="8"/>
      <c r="H66" s="8"/>
      <c r="I66" s="16"/>
      <c r="J66" s="8"/>
      <c r="K66" s="8"/>
      <c r="L66" s="16"/>
      <c r="M66" s="8"/>
      <c r="N66" s="8"/>
      <c r="O66" s="12"/>
      <c r="P66" s="8"/>
      <c r="Q66" s="16"/>
      <c r="R66" s="8"/>
      <c r="S66" s="8"/>
      <c r="T66" s="8"/>
      <c r="U66" s="8"/>
      <c r="V66" s="8"/>
      <c r="W66" s="8"/>
    </row>
    <row r="67" spans="1:23" x14ac:dyDescent="0.25">
      <c r="A67" s="59"/>
      <c r="B67" s="59"/>
      <c r="C67" s="59"/>
      <c r="E67" s="8"/>
      <c r="F67" s="8"/>
      <c r="G67" s="8"/>
      <c r="H67" s="8"/>
      <c r="I67" s="8"/>
      <c r="J67" s="16"/>
      <c r="K67" s="16"/>
      <c r="L67" s="17"/>
      <c r="M67" s="17" t="s">
        <v>311</v>
      </c>
      <c r="N67" s="12"/>
      <c r="O67" s="18" t="s">
        <v>718</v>
      </c>
      <c r="P67" s="16"/>
      <c r="Q67" s="8"/>
      <c r="R67" s="16"/>
      <c r="S67" s="16"/>
      <c r="T67" s="16"/>
      <c r="U67" s="16"/>
      <c r="V67" s="16"/>
      <c r="W67" s="8"/>
    </row>
    <row r="68" spans="1:23" x14ac:dyDescent="0.25">
      <c r="A68" s="59"/>
      <c r="B68" s="59"/>
      <c r="C68" s="59"/>
      <c r="E68" s="8"/>
      <c r="F68" s="8"/>
      <c r="G68" s="8"/>
      <c r="H68" s="8"/>
      <c r="I68" s="8"/>
      <c r="J68" s="16"/>
      <c r="K68" s="16"/>
      <c r="L68" s="16"/>
      <c r="M68" s="16"/>
      <c r="N68" s="16"/>
      <c r="O68" s="12"/>
      <c r="P68" s="16"/>
      <c r="Q68" s="16"/>
      <c r="R68" s="16"/>
      <c r="S68" s="16"/>
      <c r="T68" s="16"/>
      <c r="U68" s="16"/>
      <c r="V68" s="16"/>
      <c r="W68" s="16"/>
    </row>
    <row r="69" spans="1:23" x14ac:dyDescent="0.25">
      <c r="A69" s="59"/>
      <c r="B69" s="59"/>
      <c r="C69" s="59"/>
      <c r="E69" s="57" t="s">
        <v>313</v>
      </c>
      <c r="F69" s="196" t="s">
        <v>314</v>
      </c>
      <c r="G69" s="20"/>
      <c r="H69" s="21"/>
      <c r="I69" s="22"/>
      <c r="J69" s="22"/>
      <c r="K69" s="23" t="s">
        <v>315</v>
      </c>
      <c r="L69" s="22"/>
      <c r="M69" s="22"/>
      <c r="N69" s="20"/>
      <c r="O69" s="24"/>
      <c r="P69" s="22"/>
      <c r="Q69" s="23"/>
      <c r="R69" s="23" t="s">
        <v>316</v>
      </c>
      <c r="S69" s="22"/>
      <c r="T69" s="22"/>
      <c r="U69" s="20"/>
      <c r="V69" s="25" t="s">
        <v>317</v>
      </c>
      <c r="W69" s="25" t="s">
        <v>318</v>
      </c>
    </row>
    <row r="70" spans="1:23" ht="15.75" thickBot="1" x14ac:dyDescent="0.3">
      <c r="A70" s="85" t="s">
        <v>809</v>
      </c>
      <c r="B70" s="85" t="s">
        <v>551</v>
      </c>
      <c r="C70" s="85" t="s">
        <v>552</v>
      </c>
      <c r="E70" s="58" t="s">
        <v>319</v>
      </c>
      <c r="F70" s="192" t="s">
        <v>320</v>
      </c>
      <c r="G70" s="27"/>
      <c r="H70" s="9"/>
      <c r="I70" s="58" t="s">
        <v>321</v>
      </c>
      <c r="J70" s="28"/>
      <c r="K70" s="28" t="s">
        <v>322</v>
      </c>
      <c r="L70" s="28"/>
      <c r="M70" s="28" t="s">
        <v>323</v>
      </c>
      <c r="N70" s="27"/>
      <c r="O70" s="28"/>
      <c r="P70" s="28" t="s">
        <v>321</v>
      </c>
      <c r="Q70" s="28"/>
      <c r="R70" s="28" t="s">
        <v>322</v>
      </c>
      <c r="S70" s="28"/>
      <c r="T70" s="28" t="s">
        <v>323</v>
      </c>
      <c r="U70" s="27"/>
      <c r="V70" s="29" t="s">
        <v>324</v>
      </c>
      <c r="W70" s="29" t="s">
        <v>325</v>
      </c>
    </row>
    <row r="71" spans="1:23" x14ac:dyDescent="0.25">
      <c r="A71" s="59"/>
      <c r="B71" s="59"/>
      <c r="C71" s="59"/>
      <c r="E71" s="57">
        <v>1</v>
      </c>
      <c r="F71" s="380" t="s">
        <v>810</v>
      </c>
      <c r="G71" s="380"/>
      <c r="H71" s="380"/>
      <c r="I71" s="8"/>
      <c r="J71" s="35"/>
      <c r="K71" s="35"/>
      <c r="L71" s="35"/>
      <c r="M71" s="35"/>
      <c r="N71" s="31"/>
      <c r="O71" s="24"/>
      <c r="P71" s="31"/>
      <c r="Q71" s="35"/>
      <c r="R71" s="35"/>
      <c r="S71" s="35"/>
      <c r="T71" s="35"/>
      <c r="U71" s="35"/>
      <c r="V71" s="35"/>
      <c r="W71" s="35"/>
    </row>
    <row r="72" spans="1:23" x14ac:dyDescent="0.25">
      <c r="A72" s="59"/>
      <c r="B72" s="59"/>
      <c r="C72" s="59"/>
      <c r="E72" s="57">
        <v>2</v>
      </c>
      <c r="F72" s="8"/>
      <c r="G72" s="8"/>
      <c r="H72" s="8"/>
      <c r="I72" s="8"/>
      <c r="J72" s="8"/>
      <c r="K72" s="8"/>
      <c r="L72" s="8"/>
      <c r="M72" s="8"/>
      <c r="N72" s="8"/>
      <c r="O72" s="57"/>
      <c r="P72" s="8"/>
      <c r="Q72" s="8"/>
      <c r="R72" s="8"/>
      <c r="S72" s="8"/>
      <c r="T72" s="8"/>
      <c r="U72" s="8"/>
      <c r="V72" s="8"/>
      <c r="W72" s="8"/>
    </row>
    <row r="73" spans="1:23" x14ac:dyDescent="0.25">
      <c r="A73" s="59"/>
      <c r="B73" s="59"/>
      <c r="C73" s="59"/>
      <c r="E73" s="57">
        <v>3</v>
      </c>
      <c r="F73" s="31" t="s">
        <v>733</v>
      </c>
      <c r="G73" s="8"/>
      <c r="H73" s="8"/>
      <c r="I73" s="8"/>
      <c r="J73" s="8"/>
      <c r="K73" s="8"/>
      <c r="L73" s="8"/>
      <c r="M73" s="33"/>
      <c r="N73" s="8"/>
      <c r="O73" s="57"/>
      <c r="P73" s="8"/>
      <c r="Q73" s="8"/>
      <c r="R73" s="8"/>
      <c r="S73" s="8"/>
      <c r="T73" s="33"/>
      <c r="U73" s="8"/>
      <c r="V73" s="8"/>
      <c r="W73" s="8"/>
    </row>
    <row r="74" spans="1:23" x14ac:dyDescent="0.25">
      <c r="A74" s="59"/>
      <c r="B74" s="59" t="s">
        <v>34</v>
      </c>
      <c r="C74" s="59" t="s">
        <v>524</v>
      </c>
      <c r="E74" s="57">
        <v>4</v>
      </c>
      <c r="F74" s="31" t="s">
        <v>387</v>
      </c>
      <c r="G74" s="35"/>
      <c r="H74" s="8"/>
      <c r="I74" s="33">
        <f>+INDEX('2025 Billing Determinants'!B:B,MATCH('2027 GSD Rate Class E-13c'!B74,'2025 Billing Determinants'!A:A,0))</f>
        <v>128245</v>
      </c>
      <c r="J74" s="32" t="s">
        <v>729</v>
      </c>
      <c r="K74" s="39">
        <f>+INDEX('2026 Base Rates'!E:E,MATCH('2027 GSD Rate Class E-13c'!C74,'2026 Base Rates'!D:D,0))</f>
        <v>-0.57207970764000005</v>
      </c>
      <c r="L74" s="32"/>
      <c r="M74" s="32">
        <f>+I74*K74</f>
        <v>-73366.36210629181</v>
      </c>
      <c r="N74" s="32"/>
      <c r="O74" s="42"/>
      <c r="P74" s="33">
        <f>+INDEX('2025 Billing Determinants'!B:B,MATCH('2027 GSD Rate Class E-13c'!B74,'2025 Billing Determinants'!A:A,0))</f>
        <v>128245</v>
      </c>
      <c r="Q74" s="32" t="s">
        <v>729</v>
      </c>
      <c r="R74" s="39">
        <f t="shared" ref="R74:R77" si="23">+K74*(1+$C$7)</f>
        <v>-0.59511107472164082</v>
      </c>
      <c r="S74" s="32"/>
      <c r="T74" s="32">
        <f>+P74*R74</f>
        <v>-76320.019777676833</v>
      </c>
      <c r="U74" s="8"/>
      <c r="V74" s="32">
        <f>+T74-M74</f>
        <v>-2953.6576713850227</v>
      </c>
      <c r="W74" s="41">
        <f>+IF(V74=0,0,(T74-M74)/M74)</f>
        <v>4.0259017710402745E-2</v>
      </c>
    </row>
    <row r="75" spans="1:23" x14ac:dyDescent="0.25">
      <c r="A75" s="59"/>
      <c r="B75" s="59" t="s">
        <v>35</v>
      </c>
      <c r="C75" s="59" t="s">
        <v>519</v>
      </c>
      <c r="E75" s="57">
        <v>5</v>
      </c>
      <c r="F75" s="193" t="s">
        <v>719</v>
      </c>
      <c r="G75" s="8"/>
      <c r="H75" s="8"/>
      <c r="I75" s="33">
        <f>+INDEX('2025 Billing Determinants'!B:B,MATCH('2027 GSD Rate Class E-13c'!B75,'2025 Billing Determinants'!A:A,0))</f>
        <v>0</v>
      </c>
      <c r="J75" s="32" t="s">
        <v>729</v>
      </c>
      <c r="K75" s="39">
        <f>+INDEX('2026 Base Rates'!E:E,MATCH('2027 GSD Rate Class E-13c'!C75,'2026 Base Rates'!D:D,0))</f>
        <v>-3.27356721594</v>
      </c>
      <c r="L75" s="8"/>
      <c r="M75" s="32">
        <f>+I75*K75</f>
        <v>0</v>
      </c>
      <c r="N75" s="8"/>
      <c r="O75" s="57"/>
      <c r="P75" s="33">
        <f>+INDEX('2025 Billing Determinants'!B:B,MATCH('2027 GSD Rate Class E-13c'!B75,'2025 Billing Determinants'!A:A,0))</f>
        <v>0</v>
      </c>
      <c r="Q75" s="32" t="s">
        <v>729</v>
      </c>
      <c r="R75" s="39">
        <f t="shared" si="23"/>
        <v>-3.4053578164627223</v>
      </c>
      <c r="S75" s="8"/>
      <c r="T75" s="32">
        <f>+P75*R75</f>
        <v>0</v>
      </c>
      <c r="U75" s="8"/>
      <c r="V75" s="32">
        <f>+T75-M75</f>
        <v>0</v>
      </c>
      <c r="W75" s="41">
        <f>+IF(V75=0,0,(T75-M75)/M75)</f>
        <v>0</v>
      </c>
    </row>
    <row r="76" spans="1:23" x14ac:dyDescent="0.25">
      <c r="A76" s="59"/>
      <c r="B76" s="59" t="s">
        <v>70</v>
      </c>
      <c r="C76" s="59" t="s">
        <v>522</v>
      </c>
      <c r="E76" s="57">
        <v>6</v>
      </c>
      <c r="F76" s="31" t="s">
        <v>734</v>
      </c>
      <c r="G76" s="8"/>
      <c r="H76" s="8"/>
      <c r="I76" s="33">
        <f>+INDEX('2025 Billing Determinants'!B:B,MATCH('2027 GSD Rate Class E-13c'!B76,'2025 Billing Determinants'!A:A,0))</f>
        <v>68661</v>
      </c>
      <c r="J76" s="32" t="s">
        <v>729</v>
      </c>
      <c r="K76" s="39">
        <f>+INDEX('2026 Base Rates'!E:E,MATCH('2027 GSD Rate Class E-13c'!C76,'2026 Base Rates'!D:D,0))</f>
        <v>-0.57207970764000005</v>
      </c>
      <c r="L76" s="8"/>
      <c r="M76" s="32">
        <f>+I76*K76</f>
        <v>-39279.564806270042</v>
      </c>
      <c r="N76" s="32"/>
      <c r="O76" s="42"/>
      <c r="P76" s="33">
        <f>+INDEX('2025 Billing Determinants'!B:B,MATCH('2027 GSD Rate Class E-13c'!B76,'2025 Billing Determinants'!A:A,0))</f>
        <v>68661</v>
      </c>
      <c r="Q76" s="32" t="s">
        <v>729</v>
      </c>
      <c r="R76" s="39">
        <f t="shared" si="23"/>
        <v>-0.59511107472164082</v>
      </c>
      <c r="S76" s="8"/>
      <c r="T76" s="32">
        <f>+P76*R76</f>
        <v>-40860.921501462581</v>
      </c>
      <c r="U76" s="32"/>
      <c r="V76" s="32">
        <f>+T76-M76</f>
        <v>-1581.3566951925386</v>
      </c>
      <c r="W76" s="41">
        <f>+IF(V76=0,0,(T76-M76)/M76)</f>
        <v>4.0259017710402759E-2</v>
      </c>
    </row>
    <row r="77" spans="1:23" x14ac:dyDescent="0.25">
      <c r="A77" s="59"/>
      <c r="B77" s="59" t="s">
        <v>71</v>
      </c>
      <c r="C77" s="59" t="s">
        <v>523</v>
      </c>
      <c r="E77" s="57">
        <v>7</v>
      </c>
      <c r="F77" s="193" t="s">
        <v>735</v>
      </c>
      <c r="G77" s="8"/>
      <c r="H77" s="8"/>
      <c r="I77" s="33">
        <f>+INDEX('2025 Billing Determinants'!B:B,MATCH('2027 GSD Rate Class E-13c'!B77,'2025 Billing Determinants'!A:A,0))</f>
        <v>2562</v>
      </c>
      <c r="J77" s="32" t="s">
        <v>729</v>
      </c>
      <c r="K77" s="39">
        <f>+INDEX('2026 Base Rates'!E:E,MATCH('2027 GSD Rate Class E-13c'!C77,'2026 Base Rates'!D:D,0))</f>
        <v>-3.27356721594</v>
      </c>
      <c r="L77" s="8"/>
      <c r="M77" s="32">
        <f>+I77*K77</f>
        <v>-8386.8792072382803</v>
      </c>
      <c r="N77" s="8"/>
      <c r="O77" s="57"/>
      <c r="P77" s="33">
        <f>+INDEX('2025 Billing Determinants'!B:B,MATCH('2027 GSD Rate Class E-13c'!B77,'2025 Billing Determinants'!A:A,0))</f>
        <v>2562</v>
      </c>
      <c r="Q77" s="32" t="s">
        <v>729</v>
      </c>
      <c r="R77" s="39">
        <f t="shared" si="23"/>
        <v>-3.4053578164627223</v>
      </c>
      <c r="S77" s="8"/>
      <c r="T77" s="32">
        <f>+P77*R77</f>
        <v>-8724.526725777494</v>
      </c>
      <c r="U77" s="8"/>
      <c r="V77" s="32">
        <f>+T77-M77</f>
        <v>-337.64751853921371</v>
      </c>
      <c r="W77" s="41">
        <f>+IF(V77=0,0,(T77-M77)/M77)</f>
        <v>4.0259017710402654E-2</v>
      </c>
    </row>
    <row r="78" spans="1:23" x14ac:dyDescent="0.25">
      <c r="A78" s="59"/>
      <c r="B78" s="59"/>
      <c r="C78" s="59"/>
      <c r="E78" s="57">
        <v>8</v>
      </c>
      <c r="F78" s="20" t="s">
        <v>330</v>
      </c>
      <c r="G78" s="35"/>
      <c r="H78" s="8"/>
      <c r="I78" s="102">
        <f>+SUM(I74:I77)</f>
        <v>199468</v>
      </c>
      <c r="J78" s="32" t="s">
        <v>729</v>
      </c>
      <c r="K78" s="39"/>
      <c r="L78" s="32"/>
      <c r="M78" s="101">
        <f>+SUM(M74:M77)</f>
        <v>-121032.80611980012</v>
      </c>
      <c r="N78" s="32"/>
      <c r="O78" s="42"/>
      <c r="P78" s="102">
        <f>+SUM(P74:P77)</f>
        <v>199468</v>
      </c>
      <c r="Q78" s="32" t="s">
        <v>729</v>
      </c>
      <c r="R78" s="39"/>
      <c r="S78" s="32"/>
      <c r="T78" s="101">
        <f>+SUM(T74:T77)</f>
        <v>-125905.46800491691</v>
      </c>
      <c r="U78" s="32"/>
      <c r="V78" s="32">
        <f>+T78-M78</f>
        <v>-4872.6618851167877</v>
      </c>
      <c r="W78" s="41">
        <f>+IF(V78=0,0,(T78-M78)/M78)</f>
        <v>4.0259017710402849E-2</v>
      </c>
    </row>
    <row r="79" spans="1:23" x14ac:dyDescent="0.25">
      <c r="A79" s="59"/>
      <c r="B79" s="59"/>
      <c r="C79" s="59"/>
      <c r="E79" s="57">
        <v>9</v>
      </c>
      <c r="F79" s="8"/>
      <c r="G79" s="8"/>
      <c r="H79" s="8"/>
      <c r="I79" s="49"/>
      <c r="J79" s="8"/>
      <c r="K79" s="8"/>
      <c r="L79" s="8"/>
      <c r="M79" s="47"/>
      <c r="N79" s="8"/>
      <c r="O79" s="57"/>
      <c r="P79" s="49"/>
      <c r="Q79" s="8"/>
      <c r="R79" s="8"/>
      <c r="S79" s="8"/>
      <c r="T79" s="33"/>
      <c r="U79" s="8"/>
      <c r="V79" s="8"/>
      <c r="W79" s="8"/>
    </row>
    <row r="80" spans="1:23" x14ac:dyDescent="0.25">
      <c r="A80" s="59"/>
      <c r="B80" s="59"/>
      <c r="C80" s="59"/>
      <c r="E80" s="57">
        <v>10</v>
      </c>
    </row>
    <row r="81" spans="1:23" x14ac:dyDescent="0.25">
      <c r="A81" s="59"/>
      <c r="B81" s="59"/>
      <c r="C81" s="59"/>
      <c r="E81" s="57">
        <v>11</v>
      </c>
      <c r="F81" s="31" t="s">
        <v>345</v>
      </c>
      <c r="G81" s="31"/>
      <c r="H81" s="8"/>
      <c r="I81" s="49"/>
      <c r="J81" s="32"/>
      <c r="K81" s="32"/>
      <c r="L81" s="32"/>
      <c r="M81" s="39"/>
      <c r="N81" s="32"/>
      <c r="O81" s="42"/>
      <c r="P81" s="49"/>
      <c r="Q81" s="32"/>
      <c r="R81" s="32"/>
      <c r="S81" s="32"/>
      <c r="T81" s="32"/>
      <c r="U81" s="32"/>
      <c r="V81" s="32"/>
      <c r="W81" s="43"/>
    </row>
    <row r="82" spans="1:23" x14ac:dyDescent="0.25">
      <c r="A82" s="59"/>
      <c r="B82" s="59" t="s">
        <v>37</v>
      </c>
      <c r="C82" s="59" t="s">
        <v>533</v>
      </c>
      <c r="E82" s="57">
        <v>12</v>
      </c>
      <c r="F82" s="31" t="s">
        <v>392</v>
      </c>
      <c r="G82" s="35"/>
      <c r="H82" s="8"/>
      <c r="I82" s="33">
        <f>+INDEX('2025 Billing Determinants'!B:B,MATCH('2027 GSD Rate Class E-13c'!B82,'2025 Billing Determinants'!A:A,0))</f>
        <v>631383</v>
      </c>
      <c r="J82" s="32" t="s">
        <v>729</v>
      </c>
      <c r="K82" s="39">
        <f>+INDEX('2026 Base Rates'!E:E,MATCH('2027 GSD Rate Class E-13c'!C82,'2026 Base Rates'!D:D,0))</f>
        <v>1.08059500332</v>
      </c>
      <c r="L82" s="32"/>
      <c r="M82" s="32">
        <f t="shared" ref="M82:M87" si="24">+I82*K82</f>
        <v>682269.31498119154</v>
      </c>
      <c r="N82" s="32"/>
      <c r="O82" s="42"/>
      <c r="P82" s="33">
        <f>+INDEX('2025 Billing Determinants'!B:B,MATCH('2027 GSD Rate Class E-13c'!B82,'2025 Billing Determinants'!A:A,0))</f>
        <v>631383</v>
      </c>
      <c r="Q82" s="32" t="s">
        <v>729</v>
      </c>
      <c r="R82" s="39">
        <f t="shared" ref="R82:R87" si="25">+K82*(1+$C$7)</f>
        <v>1.1240986966964326</v>
      </c>
      <c r="S82" s="32"/>
      <c r="T82" s="32">
        <f t="shared" ref="T82:T87" si="26">+P82*R82</f>
        <v>709736.80741628364</v>
      </c>
      <c r="U82" s="32"/>
      <c r="V82" s="32">
        <f t="shared" ref="V82:V88" si="27">+T82-M82</f>
        <v>27467.492435092106</v>
      </c>
      <c r="W82" s="41">
        <f t="shared" ref="W82:W88" si="28">+IF(V82=0,0,(T82-M82)/M82)</f>
        <v>4.0259017710402696E-2</v>
      </c>
    </row>
    <row r="83" spans="1:23" x14ac:dyDescent="0.25">
      <c r="A83" s="59"/>
      <c r="B83" s="59" t="s">
        <v>38</v>
      </c>
      <c r="C83" s="59" t="s">
        <v>525</v>
      </c>
      <c r="E83" s="57">
        <v>13</v>
      </c>
      <c r="F83" s="31" t="s">
        <v>387</v>
      </c>
      <c r="G83" s="8"/>
      <c r="H83" s="8"/>
      <c r="I83" s="33">
        <f>+INDEX('2025 Billing Determinants'!B:B,MATCH('2027 GSD Rate Class E-13c'!B83,'2025 Billing Determinants'!A:A,0))</f>
        <v>23944</v>
      </c>
      <c r="J83" s="32" t="s">
        <v>729</v>
      </c>
      <c r="K83" s="39">
        <f>+INDEX('2026 Base Rates'!E:E,MATCH('2027 GSD Rate Class E-13c'!C83,'2026 Base Rates'!D:D,0))</f>
        <v>1.08059500332</v>
      </c>
      <c r="L83" s="8"/>
      <c r="M83" s="32">
        <f t="shared" si="24"/>
        <v>25873.766759494079</v>
      </c>
      <c r="N83" s="8"/>
      <c r="O83" s="57"/>
      <c r="P83" s="33">
        <f>+INDEX('2025 Billing Determinants'!B:B,MATCH('2027 GSD Rate Class E-13c'!B83,'2025 Billing Determinants'!A:A,0))</f>
        <v>23944</v>
      </c>
      <c r="Q83" s="32" t="s">
        <v>729</v>
      </c>
      <c r="R83" s="39">
        <f t="shared" si="25"/>
        <v>1.1240986966964326</v>
      </c>
      <c r="S83" s="8"/>
      <c r="T83" s="32">
        <f t="shared" si="26"/>
        <v>26915.419193699381</v>
      </c>
      <c r="U83" s="8"/>
      <c r="V83" s="32">
        <f t="shared" si="27"/>
        <v>1041.6524342053017</v>
      </c>
      <c r="W83" s="41">
        <f t="shared" si="28"/>
        <v>4.0259017710402731E-2</v>
      </c>
    </row>
    <row r="84" spans="1:23" x14ac:dyDescent="0.25">
      <c r="A84" s="59"/>
      <c r="B84" s="59" t="s">
        <v>39</v>
      </c>
      <c r="C84" s="59" t="s">
        <v>526</v>
      </c>
      <c r="E84" s="57">
        <v>14</v>
      </c>
      <c r="F84" s="193" t="s">
        <v>719</v>
      </c>
      <c r="G84" s="8"/>
      <c r="H84" s="8"/>
      <c r="I84" s="33">
        <f>+INDEX('2025 Billing Determinants'!B:B,MATCH('2027 GSD Rate Class E-13c'!B84,'2025 Billing Determinants'!A:A,0))</f>
        <v>0</v>
      </c>
      <c r="J84" s="32" t="s">
        <v>729</v>
      </c>
      <c r="K84" s="39">
        <f>+INDEX('2026 Base Rates'!E:E,MATCH('2027 GSD Rate Class E-13c'!C84,'2026 Base Rates'!D:D,0))</f>
        <v>1.08059500332</v>
      </c>
      <c r="L84" s="8"/>
      <c r="M84" s="32">
        <f t="shared" si="24"/>
        <v>0</v>
      </c>
      <c r="N84" s="8"/>
      <c r="O84" s="57"/>
      <c r="P84" s="33">
        <f>+INDEX('2025 Billing Determinants'!B:B,MATCH('2027 GSD Rate Class E-13c'!B84,'2025 Billing Determinants'!A:A,0))</f>
        <v>0</v>
      </c>
      <c r="Q84" s="32" t="s">
        <v>729</v>
      </c>
      <c r="R84" s="39">
        <f t="shared" si="25"/>
        <v>1.1240986966964326</v>
      </c>
      <c r="S84" s="8"/>
      <c r="T84" s="32">
        <f t="shared" si="26"/>
        <v>0</v>
      </c>
      <c r="U84" s="8"/>
      <c r="V84" s="32">
        <f t="shared" si="27"/>
        <v>0</v>
      </c>
      <c r="W84" s="41">
        <f t="shared" si="28"/>
        <v>0</v>
      </c>
    </row>
    <row r="85" spans="1:23" x14ac:dyDescent="0.25">
      <c r="A85" s="59"/>
      <c r="B85" s="59" t="s">
        <v>73</v>
      </c>
      <c r="C85" s="59" t="s">
        <v>530</v>
      </c>
      <c r="E85" s="57">
        <v>15</v>
      </c>
      <c r="F85" s="31" t="s">
        <v>736</v>
      </c>
      <c r="G85" s="35"/>
      <c r="H85" s="8"/>
      <c r="I85" s="33">
        <f>+INDEX('2025 Billing Determinants'!B:B,MATCH('2027 GSD Rate Class E-13c'!B85,'2025 Billing Determinants'!A:A,0))</f>
        <v>713288</v>
      </c>
      <c r="J85" s="32" t="s">
        <v>729</v>
      </c>
      <c r="K85" s="39">
        <f>+INDEX('2026 Base Rates'!E:E,MATCH('2027 GSD Rate Class E-13c'!C85,'2026 Base Rates'!D:D,0))</f>
        <v>1.08059500332</v>
      </c>
      <c r="L85" s="32"/>
      <c r="M85" s="32">
        <f t="shared" si="24"/>
        <v>770775.44872811623</v>
      </c>
      <c r="N85" s="32"/>
      <c r="O85" s="42"/>
      <c r="P85" s="33">
        <f>+INDEX('2025 Billing Determinants'!B:B,MATCH('2027 GSD Rate Class E-13c'!B85,'2025 Billing Determinants'!A:A,0))</f>
        <v>713288</v>
      </c>
      <c r="Q85" s="32" t="s">
        <v>729</v>
      </c>
      <c r="R85" s="39">
        <f t="shared" si="25"/>
        <v>1.1240986966964326</v>
      </c>
      <c r="S85" s="32"/>
      <c r="T85" s="32">
        <f t="shared" si="26"/>
        <v>801806.11116920505</v>
      </c>
      <c r="U85" s="8"/>
      <c r="V85" s="32">
        <f t="shared" si="27"/>
        <v>31030.662441088818</v>
      </c>
      <c r="W85" s="41">
        <f t="shared" si="28"/>
        <v>4.0259017710402696E-2</v>
      </c>
    </row>
    <row r="86" spans="1:23" x14ac:dyDescent="0.25">
      <c r="A86" s="59"/>
      <c r="B86" s="59" t="s">
        <v>74</v>
      </c>
      <c r="C86" s="59" t="s">
        <v>531</v>
      </c>
      <c r="E86" s="57">
        <v>16</v>
      </c>
      <c r="F86" s="31" t="s">
        <v>734</v>
      </c>
      <c r="G86" s="8"/>
      <c r="H86" s="8"/>
      <c r="I86" s="33">
        <f>+INDEX('2025 Billing Determinants'!B:B,MATCH('2027 GSD Rate Class E-13c'!B86,'2025 Billing Determinants'!A:A,0))</f>
        <v>46225</v>
      </c>
      <c r="J86" s="32" t="s">
        <v>729</v>
      </c>
      <c r="K86" s="39">
        <f>+INDEX('2026 Base Rates'!E:E,MATCH('2027 GSD Rate Class E-13c'!C86,'2026 Base Rates'!D:D,0))</f>
        <v>1.08059500332</v>
      </c>
      <c r="L86" s="8"/>
      <c r="M86" s="32">
        <f t="shared" si="24"/>
        <v>49950.504028467003</v>
      </c>
      <c r="N86" s="8"/>
      <c r="O86" s="57"/>
      <c r="P86" s="33">
        <f>+INDEX('2025 Billing Determinants'!B:B,MATCH('2027 GSD Rate Class E-13c'!B86,'2025 Billing Determinants'!A:A,0))</f>
        <v>46225</v>
      </c>
      <c r="Q86" s="32" t="s">
        <v>729</v>
      </c>
      <c r="R86" s="39">
        <f t="shared" si="25"/>
        <v>1.1240986966964326</v>
      </c>
      <c r="S86" s="8"/>
      <c r="T86" s="32">
        <f t="shared" si="26"/>
        <v>51961.462254792597</v>
      </c>
      <c r="U86" s="8"/>
      <c r="V86" s="32">
        <f t="shared" si="27"/>
        <v>2010.9582263255943</v>
      </c>
      <c r="W86" s="41">
        <f t="shared" si="28"/>
        <v>4.0259017710402696E-2</v>
      </c>
    </row>
    <row r="87" spans="1:23" x14ac:dyDescent="0.25">
      <c r="A87" s="59"/>
      <c r="B87" s="59" t="s">
        <v>75</v>
      </c>
      <c r="C87" s="59" t="s">
        <v>532</v>
      </c>
      <c r="E87" s="57">
        <v>17</v>
      </c>
      <c r="F87" s="193" t="s">
        <v>735</v>
      </c>
      <c r="G87" s="8"/>
      <c r="H87" s="8"/>
      <c r="I87" s="33">
        <f>+INDEX('2025 Billing Determinants'!B:B,MATCH('2027 GSD Rate Class E-13c'!B87,'2025 Billing Determinants'!A:A,0))</f>
        <v>0</v>
      </c>
      <c r="J87" s="32" t="s">
        <v>729</v>
      </c>
      <c r="K87" s="39">
        <f>+INDEX('2026 Base Rates'!E:E,MATCH('2027 GSD Rate Class E-13c'!C87,'2026 Base Rates'!D:D,0))</f>
        <v>1.08059500332</v>
      </c>
      <c r="L87" s="8"/>
      <c r="M87" s="32">
        <f t="shared" si="24"/>
        <v>0</v>
      </c>
      <c r="N87" s="8"/>
      <c r="O87" s="57"/>
      <c r="P87" s="33">
        <f>+INDEX('2025 Billing Determinants'!B:B,MATCH('2027 GSD Rate Class E-13c'!B87,'2025 Billing Determinants'!A:A,0))</f>
        <v>0</v>
      </c>
      <c r="Q87" s="32" t="s">
        <v>729</v>
      </c>
      <c r="R87" s="39">
        <f t="shared" si="25"/>
        <v>1.1240986966964326</v>
      </c>
      <c r="S87" s="8"/>
      <c r="T87" s="32">
        <f t="shared" si="26"/>
        <v>0</v>
      </c>
      <c r="U87" s="8"/>
      <c r="V87" s="32">
        <f t="shared" si="27"/>
        <v>0</v>
      </c>
      <c r="W87" s="41">
        <f t="shared" si="28"/>
        <v>0</v>
      </c>
    </row>
    <row r="88" spans="1:23" x14ac:dyDescent="0.25">
      <c r="A88" s="59"/>
      <c r="B88" s="59"/>
      <c r="C88" s="59"/>
      <c r="E88" s="57">
        <v>18</v>
      </c>
      <c r="F88" s="20" t="s">
        <v>330</v>
      </c>
      <c r="G88" s="35"/>
      <c r="H88" s="8"/>
      <c r="I88" s="102">
        <f>+SUM(I82:I87)</f>
        <v>1414840</v>
      </c>
      <c r="J88" s="32" t="s">
        <v>729</v>
      </c>
      <c r="K88" s="39"/>
      <c r="L88" s="32"/>
      <c r="M88" s="101">
        <f>+SUM(M82:M87)</f>
        <v>1528869.034497269</v>
      </c>
      <c r="N88" s="32"/>
      <c r="O88" s="42"/>
      <c r="P88" s="102">
        <f>+SUM(P82:P87)</f>
        <v>1414840</v>
      </c>
      <c r="Q88" s="32" t="s">
        <v>729</v>
      </c>
      <c r="R88" s="39"/>
      <c r="S88" s="32"/>
      <c r="T88" s="101">
        <f>+SUM(T82:T87)</f>
        <v>1590419.8000339807</v>
      </c>
      <c r="U88" s="32"/>
      <c r="V88" s="32">
        <f t="shared" si="27"/>
        <v>61550.765536711784</v>
      </c>
      <c r="W88" s="41">
        <f t="shared" si="28"/>
        <v>4.0259017710402668E-2</v>
      </c>
    </row>
    <row r="89" spans="1:23" x14ac:dyDescent="0.25">
      <c r="A89" s="59"/>
      <c r="B89" s="59"/>
      <c r="C89" s="59"/>
      <c r="E89" s="57">
        <v>19</v>
      </c>
    </row>
    <row r="90" spans="1:23" x14ac:dyDescent="0.25">
      <c r="A90" s="59"/>
      <c r="E90" s="57">
        <v>20</v>
      </c>
    </row>
    <row r="91" spans="1:23" x14ac:dyDescent="0.25">
      <c r="A91" s="59"/>
      <c r="E91" s="57">
        <v>21</v>
      </c>
      <c r="F91" s="31" t="s">
        <v>811</v>
      </c>
      <c r="G91" s="31"/>
      <c r="H91" s="8"/>
      <c r="I91" s="8"/>
      <c r="J91" s="32"/>
      <c r="K91" s="32"/>
      <c r="L91" s="32"/>
      <c r="M91" s="32"/>
      <c r="N91" s="33"/>
      <c r="O91" s="42"/>
      <c r="P91" s="8"/>
      <c r="Q91" s="32"/>
      <c r="R91" s="32"/>
      <c r="S91" s="32"/>
      <c r="T91" s="32"/>
      <c r="U91" s="8"/>
      <c r="V91" s="8"/>
      <c r="W91" s="8"/>
    </row>
    <row r="92" spans="1:23" x14ac:dyDescent="0.25">
      <c r="A92" s="59"/>
      <c r="B92" s="59"/>
      <c r="C92" s="59" t="s">
        <v>513</v>
      </c>
      <c r="E92" s="57">
        <v>22</v>
      </c>
      <c r="F92" s="31" t="s">
        <v>387</v>
      </c>
      <c r="G92" s="31"/>
      <c r="H92" s="8"/>
      <c r="I92" s="33">
        <f>+M28+M44+M74+M83</f>
        <v>4423037.0948411766</v>
      </c>
      <c r="J92" s="32" t="s">
        <v>806</v>
      </c>
      <c r="K92" s="72">
        <f>+INDEX('2026 Base Rates'!E:E,MATCH('2027 GSD Rate Class E-13c'!C92,'2026 Base Rates'!D:D,0))</f>
        <v>-0.01</v>
      </c>
      <c r="L92" s="32"/>
      <c r="M92" s="32">
        <f>+I92*K92</f>
        <v>-44230.370948411764</v>
      </c>
      <c r="N92" s="33"/>
      <c r="O92" s="42"/>
      <c r="P92" s="33">
        <f>+T28+T44+T74+T83</f>
        <v>4601104.2235761555</v>
      </c>
      <c r="Q92" s="32" t="s">
        <v>806</v>
      </c>
      <c r="R92" s="72">
        <f>+K92</f>
        <v>-0.01</v>
      </c>
      <c r="S92" s="32"/>
      <c r="T92" s="32">
        <f>+P92*R92</f>
        <v>-46011.042235761553</v>
      </c>
      <c r="U92" s="8"/>
      <c r="V92" s="32">
        <f>+T92-M92</f>
        <v>-1780.6712873497891</v>
      </c>
      <c r="W92" s="41">
        <f>+IF(V92=0,0,(T92-M92)/M92)</f>
        <v>4.0259017710402675E-2</v>
      </c>
    </row>
    <row r="93" spans="1:23" x14ac:dyDescent="0.25">
      <c r="A93" s="59"/>
      <c r="B93" s="59"/>
      <c r="C93" s="59" t="s">
        <v>514</v>
      </c>
      <c r="E93" s="57">
        <v>23</v>
      </c>
      <c r="F93" s="193" t="s">
        <v>719</v>
      </c>
      <c r="G93" s="8"/>
      <c r="H93" s="8"/>
      <c r="I93" s="33">
        <f>+M29+M45+M75+M84</f>
        <v>0</v>
      </c>
      <c r="J93" s="32" t="s">
        <v>806</v>
      </c>
      <c r="K93" s="72">
        <f>+INDEX('2026 Base Rates'!E:E,MATCH('2027 GSD Rate Class E-13c'!C93,'2026 Base Rates'!D:D,0))</f>
        <v>-0.02</v>
      </c>
      <c r="L93" s="8"/>
      <c r="M93" s="32">
        <f>+I93*K93</f>
        <v>0</v>
      </c>
      <c r="N93" s="8"/>
      <c r="O93" s="57"/>
      <c r="P93" s="33">
        <f>+T29+T45+T75+T84</f>
        <v>0</v>
      </c>
      <c r="Q93" s="32" t="s">
        <v>806</v>
      </c>
      <c r="R93" s="72">
        <f>+K93</f>
        <v>-0.02</v>
      </c>
      <c r="S93" s="8"/>
      <c r="T93" s="32">
        <f>+P93*R93</f>
        <v>0</v>
      </c>
      <c r="U93" s="8"/>
      <c r="V93" s="32">
        <f>+T93-M93</f>
        <v>0</v>
      </c>
      <c r="W93" s="41">
        <f>+IF(V93=0,0,(T93-M93)/M93)</f>
        <v>0</v>
      </c>
    </row>
    <row r="94" spans="1:23" x14ac:dyDescent="0.25">
      <c r="A94" s="59"/>
      <c r="B94" s="59"/>
      <c r="C94" s="59" t="s">
        <v>517</v>
      </c>
      <c r="E94" s="57">
        <v>24</v>
      </c>
      <c r="F94" s="31" t="s">
        <v>734</v>
      </c>
      <c r="G94" s="8"/>
      <c r="H94" s="8"/>
      <c r="I94" s="33">
        <f>+M31+M34+M47+M50+M76+M86+M37</f>
        <v>10684463.608173603</v>
      </c>
      <c r="J94" s="32" t="s">
        <v>806</v>
      </c>
      <c r="K94" s="72">
        <f>+INDEX('2026 Base Rates'!E:E,MATCH('2027 GSD Rate Class E-13c'!C94,'2026 Base Rates'!D:D,0))</f>
        <v>-0.01</v>
      </c>
      <c r="L94" s="8"/>
      <c r="M94" s="32">
        <f>+I94*K94</f>
        <v>-106844.63608173604</v>
      </c>
      <c r="N94" s="32"/>
      <c r="O94" s="42"/>
      <c r="P94" s="33">
        <f>+T31+T34+T37+T47+T50+T76+T86</f>
        <v>11114609.617801217</v>
      </c>
      <c r="Q94" s="32" t="s">
        <v>806</v>
      </c>
      <c r="R94" s="72">
        <f>+K94</f>
        <v>-0.01</v>
      </c>
      <c r="S94" s="8"/>
      <c r="T94" s="32">
        <f>+P94*R94</f>
        <v>-111146.09617801217</v>
      </c>
      <c r="U94" s="32"/>
      <c r="V94" s="32">
        <f>+T94-M94</f>
        <v>-4301.4600962761324</v>
      </c>
      <c r="W94" s="41">
        <f>+IF(V94=0,0,(T94-M94)/M94)</f>
        <v>4.0259017710402606E-2</v>
      </c>
    </row>
    <row r="95" spans="1:23" x14ac:dyDescent="0.25">
      <c r="A95" s="59"/>
      <c r="B95" s="59"/>
      <c r="C95" s="59" t="s">
        <v>518</v>
      </c>
      <c r="E95" s="57">
        <v>25</v>
      </c>
      <c r="F95" s="193" t="s">
        <v>735</v>
      </c>
      <c r="G95" s="8"/>
      <c r="H95" s="8"/>
      <c r="I95" s="33">
        <f>+M32+M35+M48+M51+M77+M87+M38</f>
        <v>100863.43520952803</v>
      </c>
      <c r="J95" s="32" t="s">
        <v>806</v>
      </c>
      <c r="K95" s="72">
        <f>+INDEX('2026 Base Rates'!E:E,MATCH('2027 GSD Rate Class E-13c'!C95,'2026 Base Rates'!D:D,0))</f>
        <v>-0.02</v>
      </c>
      <c r="L95" s="8"/>
      <c r="M95" s="32">
        <f>+I95*K95</f>
        <v>-2017.2687041905608</v>
      </c>
      <c r="N95" s="8"/>
      <c r="O95" s="57"/>
      <c r="P95" s="33">
        <f>+T32+T35+T38+T48+T51+T77+T87</f>
        <v>104924.09803396049</v>
      </c>
      <c r="Q95" s="32" t="s">
        <v>806</v>
      </c>
      <c r="R95" s="72">
        <f>+K95</f>
        <v>-0.02</v>
      </c>
      <c r="S95" s="8"/>
      <c r="T95" s="32">
        <f>+P95*R95</f>
        <v>-2098.4819606792098</v>
      </c>
      <c r="U95" s="8"/>
      <c r="V95" s="32">
        <f>+T95-M95</f>
        <v>-81.213256488648994</v>
      </c>
      <c r="W95" s="41">
        <f>+IF(V95=0,0,(T95-M95)/M95)</f>
        <v>4.0259017710402752E-2</v>
      </c>
    </row>
    <row r="96" spans="1:23" x14ac:dyDescent="0.25">
      <c r="A96" s="59"/>
      <c r="B96" s="59"/>
      <c r="C96" s="59"/>
      <c r="E96" s="57">
        <v>26</v>
      </c>
      <c r="F96" s="20" t="s">
        <v>330</v>
      </c>
      <c r="G96" s="8"/>
      <c r="H96" s="8"/>
      <c r="I96" s="102">
        <f>+SUM(I92:I95)</f>
        <v>15208364.138224307</v>
      </c>
      <c r="J96" s="32" t="s">
        <v>806</v>
      </c>
      <c r="K96" s="8"/>
      <c r="L96" s="32"/>
      <c r="M96" s="101">
        <f>+SUM(M92:M95)</f>
        <v>-153092.27573433836</v>
      </c>
      <c r="N96" s="32"/>
      <c r="O96" s="42"/>
      <c r="P96" s="102">
        <f>+SUM(P92:P95)</f>
        <v>15820637.939411335</v>
      </c>
      <c r="Q96" s="32" t="s">
        <v>806</v>
      </c>
      <c r="R96" s="8"/>
      <c r="S96" s="32"/>
      <c r="T96" s="101">
        <f>+SUM(T92:T95)</f>
        <v>-159255.62037445293</v>
      </c>
      <c r="U96" s="8"/>
      <c r="V96" s="32">
        <f>+T96-M96</f>
        <v>-6163.3446401145775</v>
      </c>
      <c r="W96" s="41">
        <f>+IF(V96=0,0,(T96-M96)/M96)</f>
        <v>4.0259017710402675E-2</v>
      </c>
    </row>
    <row r="97" spans="1:23" x14ac:dyDescent="0.25">
      <c r="A97" s="59"/>
      <c r="B97" s="59"/>
      <c r="C97" s="59"/>
      <c r="E97" s="57">
        <v>27</v>
      </c>
      <c r="F97" s="20"/>
      <c r="G97" s="35"/>
      <c r="H97" s="8"/>
      <c r="I97" s="32"/>
      <c r="J97" s="32"/>
      <c r="K97" s="39"/>
      <c r="L97" s="32"/>
      <c r="M97" s="32"/>
      <c r="N97" s="32"/>
      <c r="O97" s="42"/>
      <c r="P97" s="32"/>
      <c r="Q97" s="32"/>
      <c r="R97" s="39"/>
      <c r="S97" s="32"/>
      <c r="T97" s="32"/>
      <c r="U97" s="32"/>
      <c r="V97" s="32"/>
      <c r="W97" s="43"/>
    </row>
    <row r="98" spans="1:23" x14ac:dyDescent="0.25">
      <c r="A98" s="59"/>
      <c r="B98" s="59"/>
      <c r="C98" s="59"/>
      <c r="E98" s="57">
        <v>28</v>
      </c>
      <c r="F98" s="31"/>
      <c r="G98" s="31"/>
      <c r="H98" s="8"/>
      <c r="I98" s="8"/>
      <c r="J98" s="32"/>
      <c r="K98" s="32"/>
      <c r="L98" s="32"/>
      <c r="M98" s="32"/>
      <c r="N98" s="33"/>
      <c r="O98" s="42"/>
      <c r="P98" s="33"/>
      <c r="Q98" s="32"/>
      <c r="R98" s="32"/>
      <c r="S98" s="32"/>
      <c r="T98" s="32"/>
      <c r="U98" s="8"/>
      <c r="V98" s="8"/>
      <c r="W98" s="8"/>
    </row>
    <row r="99" spans="1:23" x14ac:dyDescent="0.25">
      <c r="A99" s="59"/>
      <c r="B99" s="59"/>
      <c r="C99" s="59"/>
      <c r="E99" s="57">
        <v>29</v>
      </c>
      <c r="F99" s="8" t="s">
        <v>1275</v>
      </c>
      <c r="G99" s="8"/>
      <c r="H99" s="8"/>
      <c r="I99" s="49">
        <f>AVERAGE('AMI Opt Out'!K2:K13)*365</f>
        <v>1084.1242732558139</v>
      </c>
      <c r="J99" s="8" t="s">
        <v>328</v>
      </c>
      <c r="K99" s="39">
        <v>0.67</v>
      </c>
      <c r="L99" s="8"/>
      <c r="M99" s="49">
        <f>+K99*I99</f>
        <v>726.36326308139542</v>
      </c>
      <c r="N99" s="8"/>
      <c r="O99" s="57"/>
      <c r="P99" s="49">
        <f>+I99</f>
        <v>1084.1242732558139</v>
      </c>
      <c r="Q99" s="8" t="s">
        <v>328</v>
      </c>
      <c r="R99" s="39">
        <v>0.67</v>
      </c>
      <c r="S99" s="8"/>
      <c r="T99" s="49">
        <f>+R99*P99</f>
        <v>726.36326308139542</v>
      </c>
      <c r="V99" s="32">
        <f t="shared" ref="V99:V100" si="29">+T99-M99</f>
        <v>0</v>
      </c>
      <c r="W99" s="41">
        <f t="shared" ref="W99:W100" si="30">+IF(V99=0,0,(T99-M99)/M99)</f>
        <v>0</v>
      </c>
    </row>
    <row r="100" spans="1:23" x14ac:dyDescent="0.25">
      <c r="A100" s="59"/>
      <c r="B100" s="59"/>
      <c r="C100" s="59"/>
      <c r="E100" s="57">
        <v>30</v>
      </c>
      <c r="F100" s="35" t="s">
        <v>335</v>
      </c>
      <c r="G100" s="35"/>
      <c r="H100" s="8"/>
      <c r="I100" s="102">
        <f>+I99</f>
        <v>1084.1242732558139</v>
      </c>
      <c r="J100" s="76" t="s">
        <v>331</v>
      </c>
      <c r="K100" s="48"/>
      <c r="L100" s="32"/>
      <c r="M100" s="101">
        <f>+M99</f>
        <v>726.36326308139542</v>
      </c>
      <c r="N100" s="32"/>
      <c r="O100" s="42"/>
      <c r="P100" s="102"/>
      <c r="Q100" s="32" t="s">
        <v>331</v>
      </c>
      <c r="R100" s="48"/>
      <c r="S100" s="32"/>
      <c r="T100" s="101">
        <f>+T99</f>
        <v>726.36326308139542</v>
      </c>
      <c r="V100" s="32">
        <f t="shared" si="29"/>
        <v>0</v>
      </c>
      <c r="W100" s="41">
        <f t="shared" si="30"/>
        <v>0</v>
      </c>
    </row>
    <row r="101" spans="1:23" x14ac:dyDescent="0.25">
      <c r="A101" s="59"/>
      <c r="E101" s="57">
        <v>31</v>
      </c>
    </row>
    <row r="102" spans="1:23" x14ac:dyDescent="0.25">
      <c r="A102" s="59"/>
      <c r="E102" s="57">
        <v>32</v>
      </c>
      <c r="P102" s="8"/>
      <c r="Q102" s="39"/>
    </row>
    <row r="103" spans="1:23" x14ac:dyDescent="0.25">
      <c r="A103" s="59"/>
      <c r="E103" s="57">
        <v>33</v>
      </c>
      <c r="F103" s="8" t="s">
        <v>1291</v>
      </c>
      <c r="G103" s="8"/>
      <c r="H103" s="8"/>
      <c r="J103" s="8"/>
      <c r="K103" s="39"/>
      <c r="L103" s="8"/>
      <c r="M103" s="49">
        <f>+SUM('CISR &amp; EDR'!D2:D13)</f>
        <v>-89106.433333333349</v>
      </c>
      <c r="N103" s="8"/>
      <c r="P103" s="76"/>
      <c r="Q103" s="48"/>
      <c r="R103" s="39"/>
      <c r="S103" s="8"/>
      <c r="T103" s="49">
        <f>+M103</f>
        <v>-89106.433333333349</v>
      </c>
      <c r="V103" s="32">
        <f t="shared" ref="V103:V104" si="31">+T103-M103</f>
        <v>0</v>
      </c>
      <c r="W103" s="41">
        <f t="shared" ref="W103:W104" si="32">+IF(V103=0,0,(T103-M103)/M103)</f>
        <v>0</v>
      </c>
    </row>
    <row r="104" spans="1:23" x14ac:dyDescent="0.25">
      <c r="A104" s="59"/>
      <c r="E104" s="57">
        <v>34</v>
      </c>
      <c r="F104" s="35" t="s">
        <v>335</v>
      </c>
      <c r="G104" s="35"/>
      <c r="H104" s="8"/>
      <c r="J104" s="76"/>
      <c r="K104" s="48"/>
      <c r="L104" s="32"/>
      <c r="M104" s="101">
        <f>+M103</f>
        <v>-89106.433333333349</v>
      </c>
      <c r="N104" s="32"/>
      <c r="R104" s="48"/>
      <c r="S104" s="32"/>
      <c r="T104" s="101">
        <f>+T103</f>
        <v>-89106.433333333349</v>
      </c>
      <c r="V104" s="32">
        <f t="shared" si="31"/>
        <v>0</v>
      </c>
      <c r="W104" s="41">
        <f t="shared" si="32"/>
        <v>0</v>
      </c>
    </row>
    <row r="105" spans="1:23" x14ac:dyDescent="0.25">
      <c r="A105" s="59"/>
      <c r="B105" s="59"/>
      <c r="C105" s="59"/>
      <c r="E105" s="57">
        <v>35</v>
      </c>
    </row>
    <row r="106" spans="1:23" x14ac:dyDescent="0.25">
      <c r="A106" s="59"/>
      <c r="B106" s="59"/>
      <c r="C106" s="59"/>
      <c r="E106" s="57">
        <v>36</v>
      </c>
    </row>
    <row r="107" spans="1:23" ht="15.75" thickBot="1" x14ac:dyDescent="0.3">
      <c r="A107" s="59"/>
      <c r="B107" s="59"/>
      <c r="C107" s="59"/>
      <c r="E107" s="57">
        <v>37</v>
      </c>
      <c r="F107" s="31" t="s">
        <v>336</v>
      </c>
      <c r="G107" s="31"/>
      <c r="H107" s="8"/>
      <c r="I107" s="8"/>
      <c r="J107" s="32"/>
      <c r="K107" s="32"/>
      <c r="L107" s="32"/>
      <c r="M107" s="103">
        <f>+M24+M40+M52+M78+M88+M96+M100+M104</f>
        <v>402188403.31503129</v>
      </c>
      <c r="N107" s="32"/>
      <c r="O107" s="42"/>
      <c r="P107" s="32"/>
      <c r="Q107" s="32"/>
      <c r="R107" s="32"/>
      <c r="S107" s="32"/>
      <c r="T107" s="103">
        <f>+T24+T40+T52+T78+T88+T96+T100+T104</f>
        <v>418345756.44811445</v>
      </c>
      <c r="U107" s="8"/>
      <c r="V107" s="32">
        <f>+T107-M107</f>
        <v>16157353.133083165</v>
      </c>
      <c r="W107" s="41">
        <f>+IF(V107=0,0,(T107-M107)/M107)</f>
        <v>4.0173592773701201E-2</v>
      </c>
    </row>
    <row r="108" spans="1:23" ht="15.75" thickTop="1" x14ac:dyDescent="0.25">
      <c r="A108" s="59"/>
      <c r="B108" s="59"/>
      <c r="C108" s="59"/>
      <c r="E108" s="57">
        <v>38</v>
      </c>
      <c r="F108" s="8"/>
      <c r="G108" s="8"/>
      <c r="H108" s="8"/>
      <c r="I108" s="8"/>
      <c r="J108" s="8"/>
      <c r="K108" s="8"/>
      <c r="L108" s="8"/>
      <c r="M108" s="8"/>
      <c r="N108" s="8"/>
      <c r="O108" s="57"/>
      <c r="P108" s="8"/>
      <c r="Q108" s="8"/>
      <c r="R108" s="8"/>
      <c r="S108" s="8"/>
      <c r="T108" s="8"/>
      <c r="U108" s="8"/>
      <c r="V108" s="8"/>
      <c r="W108" s="8"/>
    </row>
    <row r="109" spans="1:23" ht="15.75" thickBot="1" x14ac:dyDescent="0.3">
      <c r="A109" s="59"/>
      <c r="B109" s="59"/>
      <c r="C109" s="59"/>
      <c r="E109" s="58">
        <v>39</v>
      </c>
      <c r="F109" s="9"/>
      <c r="G109" s="9"/>
      <c r="H109" s="9"/>
      <c r="I109" s="9"/>
      <c r="J109" s="9"/>
      <c r="K109" s="9"/>
      <c r="L109" s="9"/>
      <c r="M109" s="9"/>
      <c r="N109" s="9"/>
      <c r="O109" s="58"/>
      <c r="P109" s="9"/>
      <c r="Q109" s="9"/>
      <c r="R109" s="9"/>
      <c r="S109" s="9"/>
      <c r="T109" s="9"/>
      <c r="U109" s="9"/>
      <c r="V109" s="9"/>
      <c r="W109" s="13"/>
    </row>
    <row r="110" spans="1:23" x14ac:dyDescent="0.25">
      <c r="A110" s="59"/>
      <c r="B110" s="59"/>
      <c r="C110" s="59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57"/>
      <c r="P110" s="8"/>
      <c r="Q110" s="8"/>
      <c r="R110" s="8"/>
      <c r="S110" s="8"/>
      <c r="T110" s="8"/>
      <c r="U110" s="8"/>
      <c r="V110" s="8"/>
      <c r="W110" s="8" t="s">
        <v>304</v>
      </c>
    </row>
    <row r="111" spans="1:23" x14ac:dyDescent="0.25">
      <c r="A111" s="59"/>
      <c r="B111" s="59"/>
      <c r="C111" s="59"/>
      <c r="E111" s="8"/>
      <c r="F111" s="8"/>
      <c r="G111" s="8"/>
      <c r="H111" s="8"/>
      <c r="I111" s="8"/>
      <c r="J111" s="8"/>
      <c r="K111" s="8"/>
      <c r="L111" s="378"/>
      <c r="M111" s="378"/>
      <c r="N111" s="378"/>
      <c r="O111" s="378"/>
      <c r="P111" s="378"/>
      <c r="Q111" s="8"/>
      <c r="R111" s="8"/>
      <c r="S111" s="8"/>
      <c r="T111" s="8"/>
      <c r="U111" s="8"/>
      <c r="V111" s="8"/>
      <c r="W111" s="8"/>
    </row>
    <row r="112" spans="1:23" ht="15.75" thickBot="1" x14ac:dyDescent="0.3">
      <c r="A112" s="59"/>
      <c r="B112" s="59"/>
      <c r="C112" s="59"/>
      <c r="E112" s="9" t="s">
        <v>305</v>
      </c>
      <c r="F112" s="9"/>
      <c r="G112" s="9"/>
      <c r="H112" s="9"/>
      <c r="I112" s="9"/>
      <c r="J112" s="9"/>
      <c r="K112" s="9"/>
      <c r="L112" s="379" t="s">
        <v>306</v>
      </c>
      <c r="M112" s="379"/>
      <c r="N112" s="379"/>
      <c r="O112" s="379"/>
      <c r="P112" s="379"/>
      <c r="Q112" s="9"/>
      <c r="R112" s="9"/>
      <c r="S112" s="9"/>
      <c r="T112" s="9"/>
      <c r="U112" s="9"/>
      <c r="V112" s="9"/>
      <c r="W112" s="13" t="s">
        <v>878</v>
      </c>
    </row>
    <row r="113" spans="1:23" x14ac:dyDescent="0.25">
      <c r="A113" s="59"/>
      <c r="B113" s="59"/>
      <c r="C113" s="59"/>
      <c r="E113" s="8" t="s">
        <v>307</v>
      </c>
      <c r="F113" s="8"/>
      <c r="G113" s="8"/>
      <c r="H113" s="8"/>
      <c r="I113" s="8" t="s">
        <v>308</v>
      </c>
      <c r="J113" s="8" t="s">
        <v>910</v>
      </c>
      <c r="K113" s="8"/>
      <c r="L113" s="8"/>
      <c r="M113" s="8"/>
      <c r="N113" s="8"/>
      <c r="O113" s="98"/>
      <c r="P113" s="99"/>
      <c r="Q113" s="8"/>
      <c r="R113" s="8"/>
      <c r="S113" s="99"/>
      <c r="T113" s="99" t="s">
        <v>309</v>
      </c>
      <c r="U113" s="8"/>
      <c r="V113" s="8"/>
      <c r="W113" s="10"/>
    </row>
    <row r="114" spans="1:23" x14ac:dyDescent="0.25">
      <c r="A114" s="59"/>
      <c r="B114" s="59"/>
      <c r="C114" s="59"/>
      <c r="E114" s="8"/>
      <c r="F114" s="8"/>
      <c r="G114" s="8"/>
      <c r="H114" s="8"/>
      <c r="I114" s="8"/>
      <c r="J114" s="8" t="s">
        <v>911</v>
      </c>
      <c r="K114" s="8"/>
      <c r="L114" s="8"/>
      <c r="M114" s="8"/>
      <c r="N114" s="8"/>
      <c r="O114" s="57"/>
      <c r="P114" s="10"/>
      <c r="Q114" s="8"/>
      <c r="R114" s="8"/>
      <c r="S114" s="11"/>
      <c r="T114" s="117" t="s">
        <v>916</v>
      </c>
      <c r="U114" s="116" t="s">
        <v>1512</v>
      </c>
      <c r="V114" s="8"/>
      <c r="W114" s="11"/>
    </row>
    <row r="115" spans="1:23" x14ac:dyDescent="0.25">
      <c r="A115" s="59"/>
      <c r="B115" s="59"/>
      <c r="C115" s="59"/>
      <c r="E115" s="8" t="s">
        <v>310</v>
      </c>
      <c r="F115" s="8"/>
      <c r="G115" s="8"/>
      <c r="H115" s="8"/>
      <c r="I115" s="8"/>
      <c r="J115" s="8" t="s">
        <v>912</v>
      </c>
      <c r="K115" s="8"/>
      <c r="L115" s="8"/>
      <c r="M115" s="8"/>
      <c r="N115" s="8"/>
      <c r="O115" s="57"/>
      <c r="P115" s="10"/>
      <c r="Q115" s="11"/>
      <c r="R115" s="8"/>
      <c r="S115" s="8"/>
      <c r="T115" s="265"/>
      <c r="U115" s="116"/>
      <c r="V115" s="8"/>
      <c r="W115" s="11"/>
    </row>
    <row r="116" spans="1:23" x14ac:dyDescent="0.25">
      <c r="A116" s="59"/>
      <c r="B116" s="59"/>
      <c r="C116" s="59"/>
      <c r="E116" s="8"/>
      <c r="F116" s="8"/>
      <c r="G116" s="8"/>
      <c r="H116" s="8"/>
      <c r="I116" s="8"/>
      <c r="J116" s="8" t="s">
        <v>913</v>
      </c>
      <c r="K116" s="8"/>
      <c r="L116" s="8"/>
      <c r="M116" s="8"/>
      <c r="N116" s="8"/>
      <c r="O116" s="57"/>
      <c r="P116" s="10"/>
      <c r="Q116" s="11"/>
      <c r="R116" s="8"/>
      <c r="S116" s="8"/>
      <c r="T116" s="265"/>
      <c r="U116" s="116"/>
      <c r="V116" s="8"/>
      <c r="W116" s="11"/>
    </row>
    <row r="117" spans="1:23" x14ac:dyDescent="0.25">
      <c r="A117" s="59"/>
      <c r="B117" s="59"/>
      <c r="C117" s="59"/>
      <c r="E117" s="8"/>
      <c r="F117" s="8"/>
      <c r="G117" s="11"/>
      <c r="H117" s="8"/>
      <c r="I117" s="8"/>
      <c r="J117" s="8" t="s">
        <v>914</v>
      </c>
      <c r="K117" s="8"/>
      <c r="L117" s="12"/>
      <c r="M117" s="12"/>
      <c r="N117" s="12"/>
      <c r="O117" s="57"/>
      <c r="P117" s="8"/>
      <c r="Q117" s="8"/>
      <c r="R117" s="8"/>
      <c r="S117" s="8"/>
      <c r="T117" s="265"/>
      <c r="V117" s="8"/>
      <c r="W117" s="8"/>
    </row>
    <row r="118" spans="1:23" ht="15.75" thickBot="1" x14ac:dyDescent="0.3">
      <c r="A118" s="59"/>
      <c r="B118" s="59"/>
      <c r="C118" s="59"/>
      <c r="E118" s="9" t="s">
        <v>1292</v>
      </c>
      <c r="F118" s="9"/>
      <c r="G118" s="13"/>
      <c r="H118" s="14"/>
      <c r="I118" s="14"/>
      <c r="J118" s="15" t="s">
        <v>915</v>
      </c>
      <c r="K118" s="15"/>
      <c r="L118" s="14"/>
      <c r="M118" s="14"/>
      <c r="N118" s="14"/>
      <c r="O118" s="14"/>
      <c r="P118" s="14"/>
      <c r="Q118" s="14"/>
      <c r="R118" s="15"/>
      <c r="S118" s="14"/>
      <c r="T118" s="14"/>
      <c r="U118" s="114" t="s">
        <v>1519</v>
      </c>
      <c r="V118" s="14"/>
      <c r="W118" s="14"/>
    </row>
    <row r="119" spans="1:23" x14ac:dyDescent="0.25">
      <c r="A119" s="59"/>
      <c r="B119" s="59"/>
      <c r="C119" s="59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57"/>
      <c r="P119" s="8"/>
      <c r="Q119" s="8"/>
      <c r="R119" s="8"/>
      <c r="S119" s="8"/>
      <c r="T119" s="8"/>
      <c r="U119" s="8"/>
      <c r="V119" s="8"/>
      <c r="W119" s="8"/>
    </row>
    <row r="120" spans="1:23" x14ac:dyDescent="0.25">
      <c r="A120" s="59"/>
      <c r="B120" s="59"/>
      <c r="C120" s="59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57"/>
      <c r="P120" s="8"/>
      <c r="Q120" s="8"/>
      <c r="R120" s="8"/>
      <c r="S120" s="8"/>
      <c r="T120" s="8"/>
      <c r="U120" s="8"/>
      <c r="V120" s="8"/>
      <c r="W120" s="8"/>
    </row>
    <row r="121" spans="1:23" x14ac:dyDescent="0.25">
      <c r="A121" s="59"/>
      <c r="B121" s="59"/>
      <c r="C121" s="59"/>
      <c r="E121" s="8"/>
      <c r="F121" s="8"/>
      <c r="G121" s="8"/>
      <c r="H121" s="8"/>
      <c r="I121" s="8"/>
      <c r="J121" s="16"/>
      <c r="K121" s="16"/>
      <c r="L121" s="17"/>
      <c r="M121" s="17" t="s">
        <v>311</v>
      </c>
      <c r="N121" s="12"/>
      <c r="O121" s="18" t="s">
        <v>716</v>
      </c>
      <c r="P121" s="16"/>
      <c r="Q121" s="8"/>
      <c r="R121" s="16"/>
      <c r="S121" s="16"/>
      <c r="T121" s="16"/>
      <c r="U121" s="16"/>
      <c r="V121" s="16"/>
      <c r="W121" s="8"/>
    </row>
    <row r="122" spans="1:23" x14ac:dyDescent="0.25">
      <c r="A122" s="59"/>
      <c r="B122" s="59"/>
      <c r="C122" s="59"/>
      <c r="E122" s="8"/>
      <c r="F122" s="8"/>
      <c r="G122" s="8"/>
      <c r="H122" s="8"/>
      <c r="I122" s="8"/>
      <c r="J122" s="16"/>
      <c r="K122" s="16"/>
      <c r="L122" s="16"/>
      <c r="M122" s="16"/>
      <c r="N122" s="16"/>
      <c r="O122" s="12"/>
      <c r="P122" s="16"/>
      <c r="Q122" s="16"/>
      <c r="R122" s="16"/>
      <c r="S122" s="16"/>
      <c r="T122" s="16"/>
      <c r="U122" s="16"/>
      <c r="V122" s="16"/>
      <c r="W122" s="16"/>
    </row>
    <row r="123" spans="1:23" x14ac:dyDescent="0.25">
      <c r="A123" s="59"/>
      <c r="B123" s="59"/>
      <c r="C123" s="59"/>
      <c r="E123" s="57" t="s">
        <v>313</v>
      </c>
      <c r="F123" s="196" t="s">
        <v>314</v>
      </c>
      <c r="G123" s="20"/>
      <c r="H123" s="21"/>
      <c r="I123" s="22"/>
      <c r="J123" s="22"/>
      <c r="K123" s="23" t="s">
        <v>315</v>
      </c>
      <c r="L123" s="22"/>
      <c r="M123" s="22"/>
      <c r="N123" s="20"/>
      <c r="O123" s="24"/>
      <c r="P123" s="22"/>
      <c r="Q123" s="23"/>
      <c r="R123" s="23" t="s">
        <v>316</v>
      </c>
      <c r="S123" s="22"/>
      <c r="T123" s="22"/>
      <c r="U123" s="20"/>
      <c r="V123" s="25" t="s">
        <v>317</v>
      </c>
      <c r="W123" s="25" t="s">
        <v>318</v>
      </c>
    </row>
    <row r="124" spans="1:23" ht="15.75" thickBot="1" x14ac:dyDescent="0.3">
      <c r="A124" s="85" t="s">
        <v>809</v>
      </c>
      <c r="B124" s="85" t="s">
        <v>551</v>
      </c>
      <c r="C124" s="85" t="s">
        <v>552</v>
      </c>
      <c r="E124" s="58" t="s">
        <v>319</v>
      </c>
      <c r="F124" s="192" t="s">
        <v>320</v>
      </c>
      <c r="G124" s="27"/>
      <c r="H124" s="9"/>
      <c r="I124" s="58" t="s">
        <v>321</v>
      </c>
      <c r="J124" s="28"/>
      <c r="K124" s="28" t="s">
        <v>322</v>
      </c>
      <c r="L124" s="28"/>
      <c r="M124" s="28" t="s">
        <v>323</v>
      </c>
      <c r="N124" s="28"/>
      <c r="O124" s="28"/>
      <c r="P124" s="28" t="s">
        <v>321</v>
      </c>
      <c r="Q124" s="28"/>
      <c r="R124" s="28" t="s">
        <v>322</v>
      </c>
      <c r="S124" s="28"/>
      <c r="T124" s="28" t="s">
        <v>323</v>
      </c>
      <c r="U124" s="27"/>
      <c r="V124" s="29" t="s">
        <v>324</v>
      </c>
      <c r="W124" s="29" t="s">
        <v>325</v>
      </c>
    </row>
    <row r="125" spans="1:23" x14ac:dyDescent="0.25">
      <c r="A125" s="59"/>
      <c r="B125" s="59"/>
      <c r="C125" s="59"/>
      <c r="E125" s="57">
        <v>1</v>
      </c>
      <c r="F125" s="31" t="s">
        <v>326</v>
      </c>
      <c r="G125" s="31"/>
      <c r="H125" s="8"/>
      <c r="I125" s="8"/>
      <c r="J125" s="32"/>
      <c r="K125" s="32"/>
      <c r="L125" s="32"/>
      <c r="M125" s="32"/>
      <c r="N125" s="33"/>
      <c r="O125" s="42"/>
      <c r="P125" s="33"/>
      <c r="Q125" s="32"/>
      <c r="R125" s="32"/>
      <c r="S125" s="32"/>
      <c r="T125" s="32"/>
      <c r="U125" s="32"/>
      <c r="V125" s="32"/>
      <c r="W125" s="32"/>
    </row>
    <row r="126" spans="1:23" x14ac:dyDescent="0.25">
      <c r="A126" s="59"/>
      <c r="B126" s="59" t="s">
        <v>79</v>
      </c>
      <c r="C126" s="59" t="s">
        <v>543</v>
      </c>
      <c r="E126" s="57">
        <v>2</v>
      </c>
      <c r="F126" s="193" t="s">
        <v>737</v>
      </c>
      <c r="G126" s="8"/>
      <c r="H126" s="8"/>
      <c r="I126" s="33">
        <f>+INDEX('2025 Billing Determinants'!B:B,MATCH('2027 GSD Rate Class E-13c'!B126,'2025 Billing Determinants'!A:A,0))</f>
        <v>609685.46</v>
      </c>
      <c r="J126" s="32" t="s">
        <v>328</v>
      </c>
      <c r="K126" s="39">
        <f>+INDEX('2026 Base Rates'!E:E,MATCH('2027 GSD Rate Class E-13c'!C126,'2026 Base Rates'!D:D,0))</f>
        <v>1.8221798095199999</v>
      </c>
      <c r="L126" s="8"/>
      <c r="M126" s="32">
        <f>+I126*K126</f>
        <v>1110956.5353699136</v>
      </c>
      <c r="N126" s="8"/>
      <c r="O126" s="36"/>
      <c r="P126" s="33">
        <f>+INDEX('2025 Billing Determinants'!B:B,MATCH('2027 GSD Rate Class E-13c'!B126,'2025 Billing Determinants'!A:A,0))</f>
        <v>609685.46</v>
      </c>
      <c r="Q126" s="32" t="s">
        <v>328</v>
      </c>
      <c r="R126" s="39">
        <f t="shared" ref="R126:R128" si="33">+K126*(1+$C$7)</f>
        <v>1.8955389787430039</v>
      </c>
      <c r="S126" s="8"/>
      <c r="T126" s="32">
        <f>+P126*R126</f>
        <v>1155682.5542028586</v>
      </c>
      <c r="U126" s="73"/>
      <c r="V126" s="32">
        <f t="shared" ref="V126:V129" si="34">+T126-M126</f>
        <v>44726.018832945032</v>
      </c>
      <c r="W126" s="41">
        <f t="shared" ref="W126:W129" si="35">+IF(V126=0,0,(T126-M126)/M126)</f>
        <v>4.0259017710402752E-2</v>
      </c>
    </row>
    <row r="127" spans="1:23" x14ac:dyDescent="0.25">
      <c r="A127" s="59"/>
      <c r="B127" s="59" t="s">
        <v>80</v>
      </c>
      <c r="C127" s="59" t="s">
        <v>544</v>
      </c>
      <c r="E127" s="57">
        <v>3</v>
      </c>
      <c r="F127" s="193" t="s">
        <v>738</v>
      </c>
      <c r="G127" s="8"/>
      <c r="H127" s="8"/>
      <c r="I127" s="33">
        <f>+INDEX('2025 Billing Determinants'!B:B,MATCH('2027 GSD Rate Class E-13c'!B127,'2025 Billing Determinants'!A:A,0))</f>
        <v>7206.29</v>
      </c>
      <c r="J127" s="32" t="s">
        <v>328</v>
      </c>
      <c r="K127" s="39">
        <f>+INDEX('2026 Base Rates'!E:E,MATCH('2027 GSD Rate Class E-13c'!C127,'2026 Base Rates'!D:D,0))</f>
        <v>9.9160482657599989</v>
      </c>
      <c r="L127" s="8"/>
      <c r="M127" s="32">
        <f t="shared" ref="M127:M128" si="36">+I127*K127</f>
        <v>71457.919457063617</v>
      </c>
      <c r="N127" s="8"/>
      <c r="O127" s="57"/>
      <c r="P127" s="33">
        <f>+INDEX('2025 Billing Determinants'!B:B,MATCH('2027 GSD Rate Class E-13c'!B127,'2025 Billing Determinants'!A:A,0))</f>
        <v>7206.29</v>
      </c>
      <c r="Q127" s="32" t="s">
        <v>328</v>
      </c>
      <c r="R127" s="39">
        <f t="shared" si="33"/>
        <v>10.315258628508438</v>
      </c>
      <c r="S127" s="8"/>
      <c r="T127" s="32">
        <f t="shared" ref="T127:T128" si="37">+P127*R127</f>
        <v>74334.745102034067</v>
      </c>
      <c r="U127" s="73"/>
      <c r="V127" s="32">
        <f t="shared" si="34"/>
        <v>2876.8256449704495</v>
      </c>
      <c r="W127" s="41">
        <f t="shared" si="35"/>
        <v>4.0259017710402641E-2</v>
      </c>
    </row>
    <row r="128" spans="1:23" x14ac:dyDescent="0.25">
      <c r="A128" s="59"/>
      <c r="B128" s="59" t="s">
        <v>81</v>
      </c>
      <c r="C128" s="59" t="s">
        <v>545</v>
      </c>
      <c r="E128" s="57">
        <v>4</v>
      </c>
      <c r="F128" s="193" t="s">
        <v>739</v>
      </c>
      <c r="G128" s="8"/>
      <c r="H128" s="8"/>
      <c r="I128" s="33">
        <f>+INDEX('2025 Billing Determinants'!B:B,MATCH('2027 GSD Rate Class E-13c'!B128,'2025 Billing Determinants'!A:A,0))</f>
        <v>0</v>
      </c>
      <c r="J128" s="32" t="s">
        <v>328</v>
      </c>
      <c r="K128" s="39">
        <f>+INDEX('2026 Base Rates'!E:E,MATCH('2027 GSD Rate Class E-13c'!C128,'2026 Base Rates'!D:D,0))</f>
        <v>27.290320868160002</v>
      </c>
      <c r="L128" s="8"/>
      <c r="M128" s="32">
        <f t="shared" si="36"/>
        <v>0</v>
      </c>
      <c r="N128" s="8"/>
      <c r="O128" s="57"/>
      <c r="P128" s="33">
        <f>+INDEX('2025 Billing Determinants'!B:B,MATCH('2027 GSD Rate Class E-13c'!B128,'2025 Billing Determinants'!A:A,0))</f>
        <v>0</v>
      </c>
      <c r="Q128" s="32" t="s">
        <v>328</v>
      </c>
      <c r="R128" s="39">
        <f t="shared" si="33"/>
        <v>28.38900237931383</v>
      </c>
      <c r="S128" s="8"/>
      <c r="T128" s="32">
        <f t="shared" si="37"/>
        <v>0</v>
      </c>
      <c r="U128" s="73"/>
      <c r="V128" s="32">
        <f t="shared" si="34"/>
        <v>0</v>
      </c>
      <c r="W128" s="41">
        <f t="shared" si="35"/>
        <v>0</v>
      </c>
    </row>
    <row r="129" spans="1:23" x14ac:dyDescent="0.25">
      <c r="A129" s="59"/>
      <c r="B129" s="59"/>
      <c r="C129" s="59"/>
      <c r="E129" s="57">
        <v>5</v>
      </c>
      <c r="F129" s="8" t="s">
        <v>335</v>
      </c>
      <c r="G129" s="8"/>
      <c r="H129" s="8"/>
      <c r="I129" s="201">
        <f>+SUM(I126:I128)</f>
        <v>616891.75</v>
      </c>
      <c r="J129" s="32" t="s">
        <v>341</v>
      </c>
      <c r="K129" s="39"/>
      <c r="L129" s="8"/>
      <c r="M129" s="101">
        <f>+SUM(M126:M128)</f>
        <v>1182414.4548269771</v>
      </c>
      <c r="N129" s="8"/>
      <c r="O129" s="57"/>
      <c r="P129" s="201">
        <f>+SUM(P126:P128)</f>
        <v>616891.75</v>
      </c>
      <c r="Q129" s="32" t="s">
        <v>341</v>
      </c>
      <c r="R129" s="39"/>
      <c r="S129" s="8"/>
      <c r="T129" s="101">
        <f>+SUM(T126:T128)</f>
        <v>1230017.2993048928</v>
      </c>
      <c r="U129" s="202"/>
      <c r="V129" s="32">
        <f t="shared" si="34"/>
        <v>47602.844477915671</v>
      </c>
      <c r="W129" s="41">
        <f t="shared" si="35"/>
        <v>4.0259017710402911E-2</v>
      </c>
    </row>
    <row r="130" spans="1:23" x14ac:dyDescent="0.25">
      <c r="A130" s="59"/>
      <c r="B130" s="59"/>
      <c r="C130" s="59"/>
      <c r="E130" s="57">
        <v>6</v>
      </c>
      <c r="F130" s="8"/>
      <c r="G130" s="8"/>
      <c r="H130" s="8"/>
      <c r="I130" s="8"/>
      <c r="J130" s="8"/>
      <c r="K130" s="8"/>
      <c r="L130" s="8"/>
      <c r="M130" s="47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3" x14ac:dyDescent="0.25">
      <c r="A131" s="59"/>
      <c r="B131" s="59"/>
      <c r="C131" s="59"/>
      <c r="E131" s="57">
        <v>7</v>
      </c>
      <c r="F131" s="31" t="s">
        <v>342</v>
      </c>
      <c r="G131" s="8"/>
      <c r="H131" s="8"/>
      <c r="I131" s="8"/>
      <c r="J131" s="8"/>
      <c r="K131" s="8"/>
      <c r="L131" s="8"/>
      <c r="M131" s="47"/>
      <c r="N131" s="8"/>
      <c r="O131" s="8"/>
      <c r="P131" s="8"/>
      <c r="Q131" s="8"/>
      <c r="R131" s="8"/>
      <c r="S131" s="8"/>
      <c r="T131" s="8"/>
      <c r="U131" s="8"/>
      <c r="V131" s="8"/>
      <c r="W131" s="8"/>
    </row>
    <row r="132" spans="1:23" x14ac:dyDescent="0.25">
      <c r="A132" s="59"/>
      <c r="B132" s="59" t="s">
        <v>83</v>
      </c>
      <c r="C132" s="59" t="s">
        <v>498</v>
      </c>
      <c r="E132" s="57">
        <v>8</v>
      </c>
      <c r="F132" s="193" t="s">
        <v>737</v>
      </c>
      <c r="G132" s="8"/>
      <c r="H132" s="8"/>
      <c r="I132" s="33">
        <f>+INDEX('2025 Billing Determinants'!B:B,MATCH('2027 GSD Rate Class E-13c'!B132,'2025 Billing Determinants'!A:A,0))</f>
        <v>353684044</v>
      </c>
      <c r="J132" s="32" t="s">
        <v>710</v>
      </c>
      <c r="K132" s="48">
        <f>+INDEX('2026 Base Rates'!E:E,MATCH('2027 GSD Rate Class E-13c'!C132,'2026 Base Rates'!D:D,0))</f>
        <v>8.901864361304701E-2</v>
      </c>
      <c r="L132" s="32"/>
      <c r="M132" s="32">
        <f>+I132*K132</f>
        <v>31484473.864457238</v>
      </c>
      <c r="N132" s="32"/>
      <c r="O132" s="42"/>
      <c r="P132" s="33">
        <f>+INDEX('2025 Billing Determinants'!B:B,MATCH('2027 GSD Rate Class E-13c'!B132,'2025 Billing Determinants'!A:A,0))</f>
        <v>353684044</v>
      </c>
      <c r="Q132" s="32" t="s">
        <v>710</v>
      </c>
      <c r="R132" s="48">
        <f t="shared" ref="R132:R134" si="38">+K132*(1+$C$7)</f>
        <v>9.26024467628207E-2</v>
      </c>
      <c r="S132" s="32"/>
      <c r="T132" s="32">
        <f>+P132*R132</f>
        <v>32752007.855369136</v>
      </c>
      <c r="U132" s="32"/>
      <c r="V132" s="32">
        <f t="shared" ref="V132:V135" si="39">+T132-M132</f>
        <v>1267533.9909118973</v>
      </c>
      <c r="W132" s="41">
        <f t="shared" ref="W132:W135" si="40">+IF(V132=0,0,(T132-M132)/M132)</f>
        <v>4.0259017710402772E-2</v>
      </c>
    </row>
    <row r="133" spans="1:23" x14ac:dyDescent="0.25">
      <c r="A133" s="59"/>
      <c r="B133" s="59" t="s">
        <v>84</v>
      </c>
      <c r="C133" s="59" t="s">
        <v>499</v>
      </c>
      <c r="E133" s="57">
        <v>9</v>
      </c>
      <c r="F133" s="193" t="s">
        <v>738</v>
      </c>
      <c r="G133" s="8"/>
      <c r="H133" s="8"/>
      <c r="I133" s="33">
        <f>+INDEX('2025 Billing Determinants'!B:B,MATCH('2027 GSD Rate Class E-13c'!B133,'2025 Billing Determinants'!A:A,0))</f>
        <v>6254543</v>
      </c>
      <c r="J133" s="32" t="s">
        <v>710</v>
      </c>
      <c r="K133" s="48">
        <f>+INDEX('2026 Base Rates'!E:E,MATCH('2027 GSD Rate Class E-13c'!C133,'2026 Base Rates'!D:D,0))</f>
        <v>8.901864361304701E-2</v>
      </c>
      <c r="L133" s="32"/>
      <c r="M133" s="32">
        <f t="shared" ref="M133:M134" si="41">+I133*K133</f>
        <v>556770.93427947792</v>
      </c>
      <c r="N133" s="32"/>
      <c r="O133" s="42"/>
      <c r="P133" s="33">
        <f>+INDEX('2025 Billing Determinants'!B:B,MATCH('2027 GSD Rate Class E-13c'!B133,'2025 Billing Determinants'!A:A,0))</f>
        <v>6254543</v>
      </c>
      <c r="Q133" s="32" t="s">
        <v>710</v>
      </c>
      <c r="R133" s="48">
        <f t="shared" si="38"/>
        <v>9.26024467628207E-2</v>
      </c>
      <c r="S133" s="32"/>
      <c r="T133" s="32">
        <f t="shared" ref="T133:T134" si="42">+P133*R133</f>
        <v>579185.98518327286</v>
      </c>
      <c r="U133" s="32"/>
      <c r="V133" s="32">
        <f t="shared" si="39"/>
        <v>22415.050903794938</v>
      </c>
      <c r="W133" s="41">
        <f t="shared" si="40"/>
        <v>4.0259017710402661E-2</v>
      </c>
    </row>
    <row r="134" spans="1:23" x14ac:dyDescent="0.25">
      <c r="A134" s="59"/>
      <c r="B134" s="59" t="s">
        <v>85</v>
      </c>
      <c r="C134" s="59" t="s">
        <v>500</v>
      </c>
      <c r="E134" s="57">
        <v>10</v>
      </c>
      <c r="F134" s="193" t="s">
        <v>739</v>
      </c>
      <c r="G134" s="8"/>
      <c r="H134" s="8"/>
      <c r="I134" s="33">
        <f>+INDEX('2025 Billing Determinants'!B:B,MATCH('2027 GSD Rate Class E-13c'!B134,'2025 Billing Determinants'!A:A,0))</f>
        <v>0</v>
      </c>
      <c r="J134" s="32" t="s">
        <v>710</v>
      </c>
      <c r="K134" s="48">
        <f>+INDEX('2026 Base Rates'!E:E,MATCH('2027 GSD Rate Class E-13c'!C134,'2026 Base Rates'!D:D,0))</f>
        <v>8.901864361304701E-2</v>
      </c>
      <c r="L134" s="32"/>
      <c r="M134" s="32">
        <f t="shared" si="41"/>
        <v>0</v>
      </c>
      <c r="N134" s="32"/>
      <c r="O134" s="42"/>
      <c r="P134" s="33">
        <f>+INDEX('2025 Billing Determinants'!B:B,MATCH('2027 GSD Rate Class E-13c'!B134,'2025 Billing Determinants'!A:A,0))</f>
        <v>0</v>
      </c>
      <c r="Q134" s="32" t="s">
        <v>710</v>
      </c>
      <c r="R134" s="48">
        <f t="shared" si="38"/>
        <v>9.26024467628207E-2</v>
      </c>
      <c r="S134" s="32"/>
      <c r="T134" s="32">
        <f t="shared" si="42"/>
        <v>0</v>
      </c>
      <c r="U134" s="32"/>
      <c r="V134" s="32">
        <f t="shared" si="39"/>
        <v>0</v>
      </c>
      <c r="W134" s="41">
        <f t="shared" si="40"/>
        <v>0</v>
      </c>
    </row>
    <row r="135" spans="1:23" x14ac:dyDescent="0.25">
      <c r="A135" s="59"/>
      <c r="B135" s="59"/>
      <c r="C135" s="59"/>
      <c r="E135" s="57">
        <v>11</v>
      </c>
      <c r="F135" s="8" t="s">
        <v>335</v>
      </c>
      <c r="G135" s="8"/>
      <c r="H135" s="8"/>
      <c r="I135" s="201">
        <f>+SUM(I132:I134)</f>
        <v>359938587</v>
      </c>
      <c r="J135" s="32" t="s">
        <v>710</v>
      </c>
      <c r="K135" s="39"/>
      <c r="L135" s="8"/>
      <c r="M135" s="101">
        <f>+SUM(M132:M134)</f>
        <v>32041244.798736718</v>
      </c>
      <c r="N135" s="8"/>
      <c r="O135" s="57"/>
      <c r="P135" s="201">
        <f>+SUM(P132:P134)</f>
        <v>359938587</v>
      </c>
      <c r="Q135" s="32" t="s">
        <v>710</v>
      </c>
      <c r="R135" s="39"/>
      <c r="S135" s="8"/>
      <c r="T135" s="101">
        <f>+SUM(T132:T134)</f>
        <v>33331193.840552408</v>
      </c>
      <c r="U135" s="32"/>
      <c r="V135" s="32">
        <f t="shared" si="39"/>
        <v>1289949.0418156907</v>
      </c>
      <c r="W135" s="41">
        <f t="shared" si="40"/>
        <v>4.0259017710402724E-2</v>
      </c>
    </row>
    <row r="136" spans="1:23" x14ac:dyDescent="0.25">
      <c r="A136" s="59"/>
      <c r="B136" s="59"/>
      <c r="C136" s="59"/>
      <c r="E136" s="57">
        <v>12</v>
      </c>
      <c r="F136" s="8"/>
      <c r="G136" s="8"/>
      <c r="H136" s="8"/>
      <c r="I136" s="203"/>
      <c r="J136" s="8"/>
      <c r="K136" s="8"/>
      <c r="L136" s="8"/>
      <c r="M136" s="47"/>
      <c r="N136" s="8"/>
      <c r="O136" s="57"/>
      <c r="P136" s="203"/>
      <c r="Q136" s="8"/>
      <c r="R136" s="8"/>
      <c r="S136" s="8"/>
      <c r="T136" s="8"/>
      <c r="U136" s="8"/>
      <c r="V136" s="8"/>
      <c r="W136" s="8"/>
    </row>
    <row r="137" spans="1:23" x14ac:dyDescent="0.25">
      <c r="A137" s="59"/>
      <c r="B137" s="59"/>
      <c r="C137" s="59"/>
      <c r="E137" s="57">
        <v>13</v>
      </c>
      <c r="F137" s="8" t="s">
        <v>379</v>
      </c>
      <c r="G137" s="8"/>
      <c r="H137" s="8"/>
      <c r="I137" s="32"/>
      <c r="J137" s="32"/>
      <c r="K137" s="39"/>
      <c r="L137" s="8"/>
      <c r="M137" s="39"/>
      <c r="N137" s="8"/>
      <c r="O137" s="57"/>
      <c r="P137" s="32"/>
      <c r="Q137" s="32"/>
      <c r="R137" s="39"/>
      <c r="S137" s="8"/>
      <c r="T137" s="32"/>
      <c r="U137" s="8"/>
      <c r="V137" s="8"/>
      <c r="W137" s="43"/>
    </row>
    <row r="138" spans="1:23" x14ac:dyDescent="0.25">
      <c r="A138" s="59"/>
      <c r="B138" s="59" t="s">
        <v>94</v>
      </c>
      <c r="C138" s="59" t="s">
        <v>509</v>
      </c>
      <c r="E138" s="57">
        <v>14</v>
      </c>
      <c r="F138" s="193" t="s">
        <v>737</v>
      </c>
      <c r="G138" s="8"/>
      <c r="H138" s="8"/>
      <c r="I138" s="33">
        <f>+INDEX('2025 Billing Determinants'!B:B,MATCH('2027 GSD Rate Class E-13c'!B138,'2025 Billing Determinants'!A:A,0))</f>
        <v>1992622</v>
      </c>
      <c r="J138" s="32" t="s">
        <v>729</v>
      </c>
      <c r="K138" s="39">
        <f>+INDEX('2026 Base Rates'!E:E,MATCH('2027 GSD Rate Class E-13c'!C138,'2026 Base Rates'!D:D,0))</f>
        <v>0</v>
      </c>
      <c r="L138" s="32"/>
      <c r="M138" s="32">
        <f>+I138*K138</f>
        <v>0</v>
      </c>
      <c r="N138" s="32"/>
      <c r="O138" s="42"/>
      <c r="P138" s="33">
        <f>+INDEX('2025 Billing Determinants'!B:B,MATCH('2027 GSD Rate Class E-13c'!B138,'2025 Billing Determinants'!A:A,0))</f>
        <v>1992622</v>
      </c>
      <c r="Q138" s="32" t="s">
        <v>729</v>
      </c>
      <c r="R138" s="39">
        <f t="shared" ref="R138:R140" si="43">+K138*(1+$C$7)</f>
        <v>0</v>
      </c>
      <c r="S138" s="32"/>
      <c r="T138" s="32">
        <f>+P138*R138</f>
        <v>0</v>
      </c>
      <c r="U138" s="32"/>
      <c r="V138" s="32">
        <f t="shared" ref="V138:V141" si="44">+T138-M138</f>
        <v>0</v>
      </c>
      <c r="W138" s="41">
        <f t="shared" ref="W138:W141" si="45">+IF(V138=0,0,(T138-M138)/M138)</f>
        <v>0</v>
      </c>
    </row>
    <row r="139" spans="1:23" x14ac:dyDescent="0.25">
      <c r="A139" s="59"/>
      <c r="B139" s="59" t="s">
        <v>95</v>
      </c>
      <c r="C139" s="59" t="s">
        <v>510</v>
      </c>
      <c r="E139" s="57">
        <v>15</v>
      </c>
      <c r="F139" s="193" t="s">
        <v>738</v>
      </c>
      <c r="G139" s="8"/>
      <c r="H139" s="8"/>
      <c r="I139" s="33">
        <f>+INDEX('2025 Billing Determinants'!B:B,MATCH('2027 GSD Rate Class E-13c'!B139,'2025 Billing Determinants'!A:A,0))</f>
        <v>53831</v>
      </c>
      <c r="J139" s="32" t="s">
        <v>729</v>
      </c>
      <c r="K139" s="39">
        <f>+INDEX('2026 Base Rates'!E:E,MATCH('2027 GSD Rate Class E-13c'!C139,'2026 Base Rates'!D:D,0))</f>
        <v>0</v>
      </c>
      <c r="L139" s="32"/>
      <c r="M139" s="32">
        <f t="shared" ref="M139:M140" si="46">+I139*K139</f>
        <v>0</v>
      </c>
      <c r="N139" s="32"/>
      <c r="O139" s="42"/>
      <c r="P139" s="33">
        <f>+INDEX('2025 Billing Determinants'!B:B,MATCH('2027 GSD Rate Class E-13c'!B139,'2025 Billing Determinants'!A:A,0))</f>
        <v>53831</v>
      </c>
      <c r="Q139" s="32" t="s">
        <v>729</v>
      </c>
      <c r="R139" s="39">
        <f t="shared" si="43"/>
        <v>0</v>
      </c>
      <c r="S139" s="32"/>
      <c r="T139" s="32">
        <f t="shared" ref="T139:T140" si="47">+P139*R139</f>
        <v>0</v>
      </c>
      <c r="U139" s="32"/>
      <c r="V139" s="32">
        <f t="shared" si="44"/>
        <v>0</v>
      </c>
      <c r="W139" s="41">
        <f t="shared" si="45"/>
        <v>0</v>
      </c>
    </row>
    <row r="140" spans="1:23" x14ac:dyDescent="0.25">
      <c r="A140" s="59"/>
      <c r="B140" s="59" t="s">
        <v>96</v>
      </c>
      <c r="C140" s="59" t="s">
        <v>511</v>
      </c>
      <c r="E140" s="57">
        <v>16</v>
      </c>
      <c r="F140" s="193" t="s">
        <v>739</v>
      </c>
      <c r="G140" s="8"/>
      <c r="H140" s="8"/>
      <c r="I140" s="33">
        <f>+INDEX('2025 Billing Determinants'!B:B,MATCH('2027 GSD Rate Class E-13c'!B140,'2025 Billing Determinants'!A:A,0))</f>
        <v>0</v>
      </c>
      <c r="J140" s="32" t="s">
        <v>729</v>
      </c>
      <c r="K140" s="39">
        <f>+INDEX('2026 Base Rates'!E:E,MATCH('2027 GSD Rate Class E-13c'!C140,'2026 Base Rates'!D:D,0))</f>
        <v>0</v>
      </c>
      <c r="L140" s="32"/>
      <c r="M140" s="100">
        <f t="shared" si="46"/>
        <v>0</v>
      </c>
      <c r="N140" s="32"/>
      <c r="O140" s="42"/>
      <c r="P140" s="33">
        <f>+INDEX('2025 Billing Determinants'!B:B,MATCH('2027 GSD Rate Class E-13c'!B140,'2025 Billing Determinants'!A:A,0))</f>
        <v>0</v>
      </c>
      <c r="Q140" s="32" t="s">
        <v>729</v>
      </c>
      <c r="R140" s="39">
        <f t="shared" si="43"/>
        <v>0</v>
      </c>
      <c r="S140" s="32"/>
      <c r="T140" s="100">
        <f t="shared" si="47"/>
        <v>0</v>
      </c>
      <c r="U140" s="32"/>
      <c r="V140" s="32">
        <f t="shared" si="44"/>
        <v>0</v>
      </c>
      <c r="W140" s="41">
        <f t="shared" si="45"/>
        <v>0</v>
      </c>
    </row>
    <row r="141" spans="1:23" x14ac:dyDescent="0.25">
      <c r="A141" s="59"/>
      <c r="B141" s="59"/>
      <c r="C141" s="59"/>
      <c r="E141" s="57">
        <v>17</v>
      </c>
      <c r="F141" s="31" t="s">
        <v>335</v>
      </c>
      <c r="G141" s="8"/>
      <c r="H141" s="8"/>
      <c r="I141" s="201">
        <f>+SUM(I138:I140)</f>
        <v>2046453</v>
      </c>
      <c r="J141" s="32" t="s">
        <v>729</v>
      </c>
      <c r="K141" s="39"/>
      <c r="L141" s="8"/>
      <c r="M141" s="100">
        <f>+SUM(M138:M140)</f>
        <v>0</v>
      </c>
      <c r="N141" s="8"/>
      <c r="O141" s="57"/>
      <c r="P141" s="201">
        <f>+SUM(P138:P140)</f>
        <v>2046453</v>
      </c>
      <c r="Q141" s="32"/>
      <c r="R141" s="39"/>
      <c r="S141" s="8"/>
      <c r="T141" s="100">
        <f>+SUM(T138:T140)</f>
        <v>0</v>
      </c>
      <c r="U141" s="8"/>
      <c r="V141" s="32">
        <f t="shared" si="44"/>
        <v>0</v>
      </c>
      <c r="W141" s="41">
        <f t="shared" si="45"/>
        <v>0</v>
      </c>
    </row>
    <row r="142" spans="1:23" x14ac:dyDescent="0.25">
      <c r="A142" s="59"/>
      <c r="B142" s="59"/>
      <c r="C142" s="59"/>
      <c r="E142" s="57">
        <v>18</v>
      </c>
      <c r="F142" s="8"/>
      <c r="G142" s="8"/>
      <c r="H142" s="8"/>
      <c r="I142" s="52"/>
      <c r="J142" s="32"/>
      <c r="K142" s="39"/>
      <c r="L142" s="32"/>
      <c r="M142" s="39"/>
      <c r="N142" s="32"/>
      <c r="O142" s="42"/>
      <c r="P142" s="52"/>
      <c r="Q142" s="32"/>
      <c r="R142" s="39"/>
      <c r="S142" s="32"/>
      <c r="T142" s="32"/>
      <c r="U142" s="8"/>
      <c r="V142" s="8"/>
      <c r="W142" s="43"/>
    </row>
    <row r="143" spans="1:23" x14ac:dyDescent="0.25">
      <c r="A143" s="59"/>
      <c r="B143" s="59"/>
      <c r="C143" s="59"/>
      <c r="E143" s="57">
        <v>19</v>
      </c>
      <c r="F143" s="31" t="s">
        <v>840</v>
      </c>
      <c r="G143" s="8"/>
      <c r="H143" s="8"/>
      <c r="I143" s="32"/>
      <c r="J143" s="32"/>
      <c r="K143" s="39"/>
      <c r="L143" s="8"/>
      <c r="M143" s="39"/>
      <c r="N143" s="8"/>
      <c r="O143" s="57"/>
      <c r="P143" s="32"/>
      <c r="Q143" s="32"/>
      <c r="R143" s="39"/>
      <c r="S143" s="8"/>
      <c r="T143" s="32"/>
      <c r="U143" s="8"/>
      <c r="V143" s="8"/>
      <c r="W143" s="43"/>
    </row>
    <row r="144" spans="1:23" x14ac:dyDescent="0.25">
      <c r="A144" s="59"/>
      <c r="B144" s="59" t="s">
        <v>87</v>
      </c>
      <c r="C144" s="59" t="s">
        <v>520</v>
      </c>
      <c r="E144" s="57">
        <v>20</v>
      </c>
      <c r="F144" s="193" t="s">
        <v>738</v>
      </c>
      <c r="G144" s="35"/>
      <c r="H144" s="8"/>
      <c r="I144" s="33">
        <f>+INDEX('2025 Billing Determinants'!B:B,MATCH('2027 GSD Rate Class E-13c'!B144,'2025 Billing Determinants'!A:A,0))</f>
        <v>2471303</v>
      </c>
      <c r="J144" s="32" t="s">
        <v>710</v>
      </c>
      <c r="K144" s="48">
        <f>+INDEX('2026 Base Rates'!E:E,MATCH('2027 GSD Rate Class E-13c'!C144,'2026 Base Rates'!D:D,0))</f>
        <v>-1.4645378432755589E-3</v>
      </c>
      <c r="L144" s="32"/>
      <c r="M144" s="32">
        <f>+I144*K144</f>
        <v>-3619.3167657004187</v>
      </c>
      <c r="N144" s="32"/>
      <c r="O144" s="42"/>
      <c r="P144" s="33">
        <f>+INDEX('2025 Billing Determinants'!B:B,MATCH('2027 GSD Rate Class E-13c'!B144,'2025 Billing Determinants'!A:A,0))</f>
        <v>2471303</v>
      </c>
      <c r="Q144" s="32" t="s">
        <v>710</v>
      </c>
      <c r="R144" s="48">
        <f t="shared" ref="R144:R145" si="48">+K144*(1+$C$7)</f>
        <v>-1.5234986982455446E-3</v>
      </c>
      <c r="S144" s="32"/>
      <c r="T144" s="32">
        <f>+P144*R144</f>
        <v>-3765.0269034703092</v>
      </c>
      <c r="U144" s="32"/>
      <c r="V144" s="32">
        <f t="shared" ref="V144:V146" si="49">+T144-M144</f>
        <v>-145.71013776989048</v>
      </c>
      <c r="W144" s="41">
        <f t="shared" ref="W144:W146" si="50">+IF(V144=0,0,(T144-M144)/M144)</f>
        <v>4.0259017710402675E-2</v>
      </c>
    </row>
    <row r="145" spans="1:23" ht="16.5" x14ac:dyDescent="0.35">
      <c r="A145" s="59"/>
      <c r="B145" s="59" t="s">
        <v>88</v>
      </c>
      <c r="C145" s="59" t="s">
        <v>521</v>
      </c>
      <c r="E145" s="57">
        <v>21</v>
      </c>
      <c r="F145" s="193" t="s">
        <v>739</v>
      </c>
      <c r="G145" s="35"/>
      <c r="H145" s="8"/>
      <c r="I145" s="33">
        <f>+INDEX('2025 Billing Determinants'!B:B,MATCH('2027 GSD Rate Class E-13c'!B145,'2025 Billing Determinants'!A:A,0))</f>
        <v>0</v>
      </c>
      <c r="J145" s="32" t="s">
        <v>710</v>
      </c>
      <c r="K145" s="48">
        <f>+INDEX('2026 Base Rates'!E:E,MATCH('2027 GSD Rate Class E-13c'!C145,'2026 Base Rates'!D:D,0))</f>
        <v>-8.3846978775049992E-3</v>
      </c>
      <c r="L145" s="32"/>
      <c r="M145" s="105">
        <f>+I145*K145</f>
        <v>0</v>
      </c>
      <c r="N145" s="32"/>
      <c r="O145" s="42"/>
      <c r="P145" s="33">
        <f>+INDEX('2025 Billing Determinants'!B:B,MATCH('2027 GSD Rate Class E-13c'!B145,'2025 Billing Determinants'!A:A,0))</f>
        <v>0</v>
      </c>
      <c r="Q145" s="32" t="s">
        <v>710</v>
      </c>
      <c r="R145" s="48">
        <f t="shared" si="48"/>
        <v>-8.7222575778518486E-3</v>
      </c>
      <c r="S145" s="32"/>
      <c r="T145" s="105">
        <f>+P145*R145</f>
        <v>0</v>
      </c>
      <c r="U145" s="32"/>
      <c r="V145" s="32">
        <f t="shared" si="49"/>
        <v>0</v>
      </c>
      <c r="W145" s="41">
        <f t="shared" si="50"/>
        <v>0</v>
      </c>
    </row>
    <row r="146" spans="1:23" x14ac:dyDescent="0.25">
      <c r="A146" s="59"/>
      <c r="B146" s="59"/>
      <c r="C146" s="59"/>
      <c r="E146" s="57">
        <v>22</v>
      </c>
      <c r="F146" s="10" t="s">
        <v>335</v>
      </c>
      <c r="G146" s="8"/>
      <c r="H146" s="8"/>
      <c r="I146" s="102">
        <f>+SUM(I144:I145)</f>
        <v>2471303</v>
      </c>
      <c r="J146" s="32" t="s">
        <v>710</v>
      </c>
      <c r="K146" s="39"/>
      <c r="L146" s="8"/>
      <c r="M146" s="100">
        <f>+SUM(M144:M145)</f>
        <v>-3619.3167657004187</v>
      </c>
      <c r="N146" s="8"/>
      <c r="O146" s="57"/>
      <c r="P146" s="102">
        <f>+SUM(P144:P145)</f>
        <v>2471303</v>
      </c>
      <c r="Q146" s="32" t="s">
        <v>710</v>
      </c>
      <c r="R146" s="39"/>
      <c r="S146" s="8"/>
      <c r="T146" s="100">
        <f>+SUM(T144:T145)</f>
        <v>-3765.0269034703092</v>
      </c>
      <c r="U146" s="32"/>
      <c r="V146" s="32">
        <f t="shared" si="49"/>
        <v>-145.71013776989048</v>
      </c>
      <c r="W146" s="41">
        <f t="shared" si="50"/>
        <v>4.0259017710402675E-2</v>
      </c>
    </row>
    <row r="147" spans="1:23" x14ac:dyDescent="0.25">
      <c r="A147" s="59"/>
      <c r="B147" s="59"/>
      <c r="C147" s="59"/>
      <c r="E147" s="57">
        <v>23</v>
      </c>
    </row>
    <row r="148" spans="1:23" x14ac:dyDescent="0.25">
      <c r="A148" s="59"/>
      <c r="B148" s="59"/>
      <c r="C148" s="59"/>
      <c r="E148" s="57">
        <v>24</v>
      </c>
    </row>
    <row r="149" spans="1:23" x14ac:dyDescent="0.25">
      <c r="A149" s="59"/>
      <c r="B149" s="59"/>
      <c r="C149" s="59"/>
      <c r="E149" s="57">
        <v>25</v>
      </c>
      <c r="F149" s="8" t="s">
        <v>740</v>
      </c>
      <c r="G149" s="8"/>
      <c r="H149" s="8"/>
      <c r="I149" s="8"/>
      <c r="J149" s="8"/>
      <c r="K149" s="8"/>
      <c r="L149" s="8"/>
      <c r="M149" s="47"/>
      <c r="N149" s="8"/>
      <c r="O149" s="8"/>
      <c r="P149" s="8"/>
      <c r="Q149" s="8"/>
      <c r="R149" s="8"/>
      <c r="S149" s="8"/>
      <c r="T149" s="8"/>
      <c r="U149" s="8"/>
      <c r="V149" s="8"/>
      <c r="W149" s="43"/>
    </row>
    <row r="150" spans="1:23" x14ac:dyDescent="0.25">
      <c r="A150" s="59"/>
      <c r="B150" s="59" t="s">
        <v>90</v>
      </c>
      <c r="C150" s="59" t="s">
        <v>527</v>
      </c>
      <c r="E150" s="57">
        <v>26</v>
      </c>
      <c r="F150" s="193" t="s">
        <v>737</v>
      </c>
      <c r="G150" s="71"/>
      <c r="H150" s="8"/>
      <c r="I150" s="33">
        <f>+INDEX('2025 Billing Determinants'!B:B,MATCH('2027 GSD Rate Class E-13c'!B150,'2025 Billing Determinants'!A:A,0))</f>
        <v>16331549</v>
      </c>
      <c r="J150" s="32" t="s">
        <v>710</v>
      </c>
      <c r="K150" s="48">
        <f>+INDEX('2026 Base Rates'!E:E,MATCH('2027 GSD Rate Class E-13c'!C150,'2026 Base Rates'!D:D,0))</f>
        <v>2.7226756456199997E-3</v>
      </c>
      <c r="L150" s="74"/>
      <c r="M150" s="32">
        <f>+I150*K150</f>
        <v>44465.51071754966</v>
      </c>
      <c r="N150" s="32"/>
      <c r="O150" s="42"/>
      <c r="P150" s="33">
        <f>+INDEX('2025 Billing Determinants'!B:B,MATCH('2027 GSD Rate Class E-13c'!B150,'2025 Billing Determinants'!A:A,0))</f>
        <v>16331549</v>
      </c>
      <c r="Q150" s="32" t="s">
        <v>710</v>
      </c>
      <c r="R150" s="48">
        <f t="shared" ref="R150:R152" si="51">+K150*(1+$C$7)</f>
        <v>2.8322878926566974E-3</v>
      </c>
      <c r="S150" s="32"/>
      <c r="T150" s="32">
        <f>+P150*R150</f>
        <v>46255.648501029595</v>
      </c>
      <c r="U150" s="32"/>
      <c r="V150" s="32">
        <f t="shared" ref="V150:V153" si="52">+T150-M150</f>
        <v>1790.137783479935</v>
      </c>
      <c r="W150" s="41">
        <f t="shared" ref="W150:W153" si="53">+IF(V150=0,0,(T150-M150)/M150)</f>
        <v>4.0259017710402752E-2</v>
      </c>
    </row>
    <row r="151" spans="1:23" x14ac:dyDescent="0.25">
      <c r="A151" s="59"/>
      <c r="B151" s="59" t="s">
        <v>91</v>
      </c>
      <c r="C151" s="59" t="s">
        <v>528</v>
      </c>
      <c r="E151" s="57">
        <v>27</v>
      </c>
      <c r="F151" s="193" t="s">
        <v>738</v>
      </c>
      <c r="G151" s="71"/>
      <c r="H151" s="8"/>
      <c r="I151" s="33">
        <f>+INDEX('2025 Billing Determinants'!B:B,MATCH('2027 GSD Rate Class E-13c'!B151,'2025 Billing Determinants'!A:A,0))</f>
        <v>0</v>
      </c>
      <c r="J151" s="32" t="s">
        <v>710</v>
      </c>
      <c r="K151" s="48">
        <f>+INDEX('2026 Base Rates'!E:E,MATCH('2027 GSD Rate Class E-13c'!C151,'2026 Base Rates'!D:D,0))</f>
        <v>2.7226756456199997E-3</v>
      </c>
      <c r="L151" s="74"/>
      <c r="M151" s="32">
        <f>+I151*K151</f>
        <v>0</v>
      </c>
      <c r="N151" s="8"/>
      <c r="O151" s="57"/>
      <c r="P151" s="33">
        <f>+INDEX('2025 Billing Determinants'!B:B,MATCH('2027 GSD Rate Class E-13c'!B151,'2025 Billing Determinants'!A:A,0))</f>
        <v>0</v>
      </c>
      <c r="Q151" s="32" t="s">
        <v>710</v>
      </c>
      <c r="R151" s="48">
        <f t="shared" si="51"/>
        <v>2.8322878926566974E-3</v>
      </c>
      <c r="S151" s="8"/>
      <c r="T151" s="32">
        <f t="shared" ref="T151:T152" si="54">+P151*R151</f>
        <v>0</v>
      </c>
      <c r="U151" s="8"/>
      <c r="V151" s="32">
        <f t="shared" si="52"/>
        <v>0</v>
      </c>
      <c r="W151" s="41">
        <f t="shared" si="53"/>
        <v>0</v>
      </c>
    </row>
    <row r="152" spans="1:23" ht="16.5" x14ac:dyDescent="0.35">
      <c r="A152" s="59"/>
      <c r="B152" s="59" t="s">
        <v>92</v>
      </c>
      <c r="C152" s="59" t="s">
        <v>529</v>
      </c>
      <c r="E152" s="57">
        <v>28</v>
      </c>
      <c r="F152" s="193" t="s">
        <v>739</v>
      </c>
      <c r="G152" s="71"/>
      <c r="H152" s="8"/>
      <c r="I152" s="33">
        <f>+INDEX('2025 Billing Determinants'!B:B,MATCH('2027 GSD Rate Class E-13c'!B152,'2025 Billing Determinants'!A:A,0))</f>
        <v>0</v>
      </c>
      <c r="J152" s="32" t="s">
        <v>710</v>
      </c>
      <c r="K152" s="48">
        <f>+INDEX('2026 Base Rates'!E:E,MATCH('2027 GSD Rate Class E-13c'!C152,'2026 Base Rates'!D:D,0))</f>
        <v>2.7226756456199997E-3</v>
      </c>
      <c r="L152" s="74"/>
      <c r="M152" s="105">
        <f>+I152*K152</f>
        <v>0</v>
      </c>
      <c r="N152" s="8"/>
      <c r="O152" s="57"/>
      <c r="P152" s="33">
        <f>+INDEX('2025 Billing Determinants'!B:B,MATCH('2027 GSD Rate Class E-13c'!B152,'2025 Billing Determinants'!A:A,0))</f>
        <v>0</v>
      </c>
      <c r="Q152" s="32" t="s">
        <v>710</v>
      </c>
      <c r="R152" s="48">
        <f t="shared" si="51"/>
        <v>2.8322878926566974E-3</v>
      </c>
      <c r="S152" s="8"/>
      <c r="T152" s="105">
        <f t="shared" si="54"/>
        <v>0</v>
      </c>
      <c r="U152" s="8"/>
      <c r="V152" s="32">
        <f t="shared" si="52"/>
        <v>0</v>
      </c>
      <c r="W152" s="41">
        <f t="shared" si="53"/>
        <v>0</v>
      </c>
    </row>
    <row r="153" spans="1:23" x14ac:dyDescent="0.25">
      <c r="A153" s="59"/>
      <c r="B153" s="59"/>
      <c r="C153" s="59"/>
      <c r="E153" s="57">
        <v>29</v>
      </c>
      <c r="F153" s="31" t="s">
        <v>335</v>
      </c>
      <c r="G153" s="8"/>
      <c r="H153" s="8"/>
      <c r="I153" s="201">
        <f>+SUM(I150:I152)</f>
        <v>16331549</v>
      </c>
      <c r="J153" s="32" t="s">
        <v>710</v>
      </c>
      <c r="K153" s="39"/>
      <c r="L153" s="8"/>
      <c r="M153" s="100">
        <f>+SUM(M150:M152)</f>
        <v>44465.51071754966</v>
      </c>
      <c r="N153" s="8"/>
      <c r="O153" s="57"/>
      <c r="P153" s="201">
        <f>+SUM(P150:P152)</f>
        <v>16331549</v>
      </c>
      <c r="Q153" s="32" t="s">
        <v>710</v>
      </c>
      <c r="R153" s="39"/>
      <c r="S153" s="8"/>
      <c r="T153" s="100">
        <f>+SUM(T150:T152)</f>
        <v>46255.648501029595</v>
      </c>
      <c r="U153" s="8"/>
      <c r="V153" s="32">
        <f t="shared" si="52"/>
        <v>1790.137783479935</v>
      </c>
      <c r="W153" s="41">
        <f t="shared" si="53"/>
        <v>4.0259017710402752E-2</v>
      </c>
    </row>
    <row r="154" spans="1:23" x14ac:dyDescent="0.25">
      <c r="A154" s="59"/>
      <c r="B154" s="59"/>
      <c r="C154" s="59"/>
      <c r="E154" s="57">
        <v>30</v>
      </c>
    </row>
    <row r="155" spans="1:23" x14ac:dyDescent="0.25">
      <c r="A155" s="59"/>
      <c r="E155" s="57">
        <v>31</v>
      </c>
    </row>
    <row r="156" spans="1:23" x14ac:dyDescent="0.25">
      <c r="A156" s="59"/>
      <c r="E156" s="57">
        <v>32</v>
      </c>
      <c r="F156" s="31" t="s">
        <v>812</v>
      </c>
      <c r="G156" s="8"/>
      <c r="H156" s="8"/>
      <c r="I156" s="33"/>
      <c r="J156" s="32"/>
      <c r="K156" s="39"/>
      <c r="L156" s="8"/>
      <c r="M156" s="39"/>
      <c r="N156" s="8"/>
      <c r="O156" s="57"/>
      <c r="P156" s="33"/>
      <c r="Q156" s="32"/>
      <c r="R156" s="39"/>
      <c r="S156" s="8"/>
      <c r="T156" s="32"/>
      <c r="U156" s="32"/>
      <c r="V156" s="32"/>
      <c r="W156" s="8"/>
    </row>
    <row r="157" spans="1:23" x14ac:dyDescent="0.25">
      <c r="A157" s="59"/>
      <c r="B157" s="59"/>
      <c r="C157" s="59" t="s">
        <v>515</v>
      </c>
      <c r="E157" s="57">
        <v>33</v>
      </c>
      <c r="F157" s="193" t="s">
        <v>738</v>
      </c>
      <c r="G157" s="8"/>
      <c r="H157" s="8"/>
      <c r="I157" s="33">
        <f>+M133+M139+M144+M151</f>
        <v>553151.61751377746</v>
      </c>
      <c r="J157" s="32" t="s">
        <v>806</v>
      </c>
      <c r="K157" s="72">
        <f>+INDEX('2026 Base Rates'!E:E,MATCH('2027 GSD Rate Class E-13c'!C157,'2026 Base Rates'!D:D,0))</f>
        <v>-0.01</v>
      </c>
      <c r="L157" s="32"/>
      <c r="M157" s="32">
        <f>+I157*K157</f>
        <v>-5531.5161751377746</v>
      </c>
      <c r="N157" s="33"/>
      <c r="O157" s="42"/>
      <c r="P157" s="33">
        <f>+T133+T139+T144+T151</f>
        <v>575420.95827980258</v>
      </c>
      <c r="Q157" s="32" t="s">
        <v>806</v>
      </c>
      <c r="R157" s="72">
        <f>+K157</f>
        <v>-0.01</v>
      </c>
      <c r="S157" s="32"/>
      <c r="T157" s="32">
        <f>+P157*R157</f>
        <v>-5754.2095827980256</v>
      </c>
      <c r="U157" s="8"/>
      <c r="V157" s="32">
        <f t="shared" ref="V157:V159" si="55">+T157-M157</f>
        <v>-222.69340766025107</v>
      </c>
      <c r="W157" s="41">
        <f t="shared" ref="W157:W159" si="56">+IF(V157=0,0,(T157-M157)/M157)</f>
        <v>4.0259017710402772E-2</v>
      </c>
    </row>
    <row r="158" spans="1:23" ht="16.5" x14ac:dyDescent="0.35">
      <c r="A158" s="59"/>
      <c r="B158" s="59"/>
      <c r="C158" s="59" t="s">
        <v>516</v>
      </c>
      <c r="E158" s="57">
        <v>34</v>
      </c>
      <c r="F158" s="193" t="s">
        <v>739</v>
      </c>
      <c r="G158" s="8"/>
      <c r="H158" s="8"/>
      <c r="I158" s="33">
        <f>+M134+M140+M145+M152</f>
        <v>0</v>
      </c>
      <c r="J158" s="32"/>
      <c r="K158" s="72">
        <f>+INDEX('2026 Base Rates'!E:E,MATCH('2027 GSD Rate Class E-13c'!C158,'2026 Base Rates'!D:D,0))</f>
        <v>-0.02</v>
      </c>
      <c r="L158" s="32"/>
      <c r="M158" s="105">
        <f>+I158*K158</f>
        <v>0</v>
      </c>
      <c r="N158" s="33"/>
      <c r="O158" s="42"/>
      <c r="P158" s="33">
        <f>+T134+T140+T145+T152</f>
        <v>0</v>
      </c>
      <c r="Q158" s="32"/>
      <c r="R158" s="72">
        <f>+K158</f>
        <v>-0.02</v>
      </c>
      <c r="S158" s="32"/>
      <c r="T158" s="105">
        <f>+P158*R158</f>
        <v>0</v>
      </c>
      <c r="U158" s="8"/>
      <c r="V158" s="32">
        <f t="shared" si="55"/>
        <v>0</v>
      </c>
      <c r="W158" s="41">
        <f t="shared" si="56"/>
        <v>0</v>
      </c>
    </row>
    <row r="159" spans="1:23" x14ac:dyDescent="0.25">
      <c r="A159" s="59"/>
      <c r="B159" s="59"/>
      <c r="C159" s="59"/>
      <c r="E159" s="57">
        <v>35</v>
      </c>
      <c r="F159" s="10" t="s">
        <v>335</v>
      </c>
      <c r="G159" s="8"/>
      <c r="H159" s="8"/>
      <c r="I159" s="102">
        <f>+SUM(I157:I158)</f>
        <v>553151.61751377746</v>
      </c>
      <c r="J159" s="32" t="s">
        <v>806</v>
      </c>
      <c r="K159" s="72"/>
      <c r="L159" s="8"/>
      <c r="M159" s="100">
        <f>+SUM(M157:M158)</f>
        <v>-5531.5161751377746</v>
      </c>
      <c r="N159" s="8"/>
      <c r="O159" s="57"/>
      <c r="P159" s="102">
        <f>+SUM(P157:P158)</f>
        <v>575420.95827980258</v>
      </c>
      <c r="Q159" s="32" t="s">
        <v>806</v>
      </c>
      <c r="R159" s="72"/>
      <c r="S159" s="8"/>
      <c r="T159" s="100">
        <f>+SUM(T157:T158)</f>
        <v>-5754.2095827980256</v>
      </c>
      <c r="U159" s="8"/>
      <c r="V159" s="32">
        <f t="shared" si="55"/>
        <v>-222.69340766025107</v>
      </c>
      <c r="W159" s="41">
        <f t="shared" si="56"/>
        <v>4.0259017710402772E-2</v>
      </c>
    </row>
    <row r="160" spans="1:23" x14ac:dyDescent="0.25">
      <c r="A160" s="59"/>
      <c r="B160" s="59"/>
      <c r="C160" s="59"/>
      <c r="E160" s="57">
        <v>36</v>
      </c>
      <c r="T160" s="6"/>
    </row>
    <row r="161" spans="1:23" x14ac:dyDescent="0.25">
      <c r="A161" s="59"/>
      <c r="B161" s="59"/>
      <c r="C161" s="59"/>
      <c r="E161" s="57">
        <v>37</v>
      </c>
    </row>
    <row r="162" spans="1:23" ht="15.75" thickBot="1" x14ac:dyDescent="0.3">
      <c r="A162" s="59"/>
      <c r="E162" s="57">
        <v>38</v>
      </c>
      <c r="F162" s="31" t="s">
        <v>336</v>
      </c>
      <c r="G162" s="8"/>
      <c r="H162" s="8"/>
      <c r="I162" s="49"/>
      <c r="J162" s="8"/>
      <c r="K162" s="8"/>
      <c r="L162" s="8"/>
      <c r="M162" s="103">
        <f>+M129+M135+M141+M146+M153+M159</f>
        <v>33258973.931340408</v>
      </c>
      <c r="N162" s="198"/>
      <c r="O162" s="204"/>
      <c r="P162" s="75"/>
      <c r="Q162" s="75"/>
      <c r="R162" s="8"/>
      <c r="S162" s="75"/>
      <c r="T162" s="103">
        <f>+T129+T135+T141+T146+T153+T159</f>
        <v>34597947.55187206</v>
      </c>
      <c r="U162" s="8"/>
      <c r="V162" s="32">
        <f t="shared" ref="V162" si="57">+T162-M162</f>
        <v>1338973.6205316521</v>
      </c>
      <c r="W162" s="41">
        <f t="shared" ref="W162" si="58">+IF(V162=0,0,(T162-M162)/M162)</f>
        <v>4.0259017710402606E-2</v>
      </c>
    </row>
    <row r="163" spans="1:23" ht="16.5" thickTop="1" thickBot="1" x14ac:dyDescent="0.3">
      <c r="A163" s="59"/>
      <c r="E163" s="58">
        <v>39</v>
      </c>
      <c r="F163" s="205"/>
      <c r="G163" s="9"/>
      <c r="H163" s="9"/>
      <c r="I163" s="9"/>
      <c r="J163" s="9"/>
      <c r="K163" s="9"/>
      <c r="L163" s="9"/>
      <c r="M163" s="9"/>
      <c r="N163" s="9"/>
      <c r="O163" s="58"/>
      <c r="P163" s="9"/>
      <c r="Q163" s="9"/>
      <c r="R163" s="9"/>
      <c r="S163" s="9"/>
      <c r="T163" s="9"/>
      <c r="U163" s="9"/>
      <c r="V163" s="9"/>
      <c r="W163" s="9"/>
    </row>
    <row r="164" spans="1:23" x14ac:dyDescent="0.25"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57"/>
      <c r="P164" s="8"/>
      <c r="Q164" s="8"/>
      <c r="R164" s="8"/>
      <c r="S164" s="8"/>
      <c r="T164" s="8"/>
      <c r="U164" s="8"/>
      <c r="V164" s="8"/>
      <c r="W164" s="8" t="s">
        <v>304</v>
      </c>
    </row>
    <row r="165" spans="1:23" x14ac:dyDescent="0.25">
      <c r="E165" s="8"/>
      <c r="F165" s="8"/>
      <c r="G165" s="8"/>
      <c r="H165" s="8"/>
      <c r="I165" s="8"/>
      <c r="J165" s="8"/>
      <c r="K165" s="8"/>
      <c r="L165" s="378"/>
      <c r="M165" s="378"/>
      <c r="N165" s="378"/>
      <c r="O165" s="378"/>
      <c r="P165" s="378"/>
      <c r="Q165" s="8"/>
      <c r="R165" s="8"/>
      <c r="S165" s="8"/>
      <c r="T165" s="8"/>
      <c r="U165" s="8"/>
      <c r="V165" s="8"/>
      <c r="W165" s="8"/>
    </row>
    <row r="166" spans="1:23" ht="15.75" thickBot="1" x14ac:dyDescent="0.3">
      <c r="E166" s="9" t="s">
        <v>305</v>
      </c>
      <c r="F166" s="9"/>
      <c r="G166" s="9"/>
      <c r="H166" s="9"/>
      <c r="I166" s="9"/>
      <c r="J166" s="9"/>
      <c r="K166" s="9"/>
      <c r="L166" s="379" t="s">
        <v>306</v>
      </c>
      <c r="M166" s="379"/>
      <c r="N166" s="379"/>
      <c r="O166" s="379"/>
      <c r="P166" s="379"/>
      <c r="Q166" s="9"/>
      <c r="R166" s="9"/>
      <c r="S166" s="9"/>
      <c r="T166" s="9"/>
      <c r="U166" s="9"/>
      <c r="V166" s="9"/>
      <c r="W166" s="13" t="s">
        <v>879</v>
      </c>
    </row>
    <row r="167" spans="1:23" x14ac:dyDescent="0.25">
      <c r="E167" s="8" t="s">
        <v>307</v>
      </c>
      <c r="F167" s="8"/>
      <c r="G167" s="8"/>
      <c r="H167" s="8"/>
      <c r="I167" s="8" t="s">
        <v>308</v>
      </c>
      <c r="J167" s="8" t="s">
        <v>910</v>
      </c>
      <c r="K167" s="8"/>
      <c r="L167" s="8"/>
      <c r="M167" s="8"/>
      <c r="N167" s="8"/>
      <c r="O167" s="98"/>
      <c r="P167" s="99"/>
      <c r="Q167" s="8"/>
      <c r="R167" s="8"/>
      <c r="S167" s="99"/>
      <c r="T167" s="99" t="s">
        <v>309</v>
      </c>
      <c r="U167" s="8"/>
      <c r="V167" s="8"/>
      <c r="W167" s="10"/>
    </row>
    <row r="168" spans="1:23" x14ac:dyDescent="0.25">
      <c r="E168" s="8"/>
      <c r="F168" s="8"/>
      <c r="G168" s="8"/>
      <c r="H168" s="8"/>
      <c r="I168" s="8"/>
      <c r="J168" s="8" t="s">
        <v>911</v>
      </c>
      <c r="K168" s="8"/>
      <c r="L168" s="8"/>
      <c r="M168" s="8"/>
      <c r="N168" s="8"/>
      <c r="O168" s="57"/>
      <c r="P168" s="10"/>
      <c r="Q168" s="8"/>
      <c r="R168" s="8"/>
      <c r="S168" s="11"/>
      <c r="T168" s="117" t="s">
        <v>916</v>
      </c>
      <c r="U168" s="116" t="s">
        <v>1512</v>
      </c>
      <c r="V168" s="8"/>
      <c r="W168" s="11"/>
    </row>
    <row r="169" spans="1:23" x14ac:dyDescent="0.25">
      <c r="E169" s="8" t="s">
        <v>310</v>
      </c>
      <c r="F169" s="8"/>
      <c r="G169" s="8"/>
      <c r="H169" s="8"/>
      <c r="I169" s="8"/>
      <c r="J169" s="8" t="s">
        <v>912</v>
      </c>
      <c r="K169" s="8"/>
      <c r="L169" s="8"/>
      <c r="M169" s="8"/>
      <c r="N169" s="8"/>
      <c r="O169" s="57"/>
      <c r="P169" s="10"/>
      <c r="Q169" s="11"/>
      <c r="R169" s="8"/>
      <c r="S169" s="8"/>
      <c r="T169" s="265"/>
      <c r="U169" s="116"/>
      <c r="V169" s="8"/>
      <c r="W169" s="11"/>
    </row>
    <row r="170" spans="1:23" x14ac:dyDescent="0.25">
      <c r="E170" s="8"/>
      <c r="F170" s="8"/>
      <c r="G170" s="8"/>
      <c r="H170" s="8"/>
      <c r="I170" s="8"/>
      <c r="J170" s="8" t="s">
        <v>913</v>
      </c>
      <c r="K170" s="8"/>
      <c r="L170" s="8"/>
      <c r="M170" s="8"/>
      <c r="N170" s="8"/>
      <c r="O170" s="57"/>
      <c r="P170" s="10"/>
      <c r="Q170" s="11"/>
      <c r="R170" s="8"/>
      <c r="S170" s="8"/>
      <c r="T170" s="265"/>
      <c r="U170" s="116"/>
      <c r="V170" s="8"/>
      <c r="W170" s="11"/>
    </row>
    <row r="171" spans="1:23" x14ac:dyDescent="0.25">
      <c r="E171" s="8"/>
      <c r="F171" s="8"/>
      <c r="G171" s="11"/>
      <c r="H171" s="8"/>
      <c r="I171" s="8"/>
      <c r="J171" s="8" t="s">
        <v>914</v>
      </c>
      <c r="K171" s="8"/>
      <c r="L171" s="12"/>
      <c r="M171" s="12"/>
      <c r="N171" s="12"/>
      <c r="O171" s="57"/>
      <c r="P171" s="8"/>
      <c r="Q171" s="8"/>
      <c r="R171" s="8"/>
      <c r="S171" s="8"/>
      <c r="T171" s="265"/>
      <c r="V171" s="8"/>
      <c r="W171" s="8"/>
    </row>
    <row r="172" spans="1:23" ht="15.75" thickBot="1" x14ac:dyDescent="0.3">
      <c r="E172" s="9" t="s">
        <v>1292</v>
      </c>
      <c r="F172" s="9"/>
      <c r="G172" s="13"/>
      <c r="H172" s="14"/>
      <c r="I172" s="14"/>
      <c r="J172" s="15" t="s">
        <v>915</v>
      </c>
      <c r="K172" s="15"/>
      <c r="L172" s="14"/>
      <c r="M172" s="14"/>
      <c r="N172" s="14"/>
      <c r="O172" s="14"/>
      <c r="P172" s="14"/>
      <c r="Q172" s="14"/>
      <c r="R172" s="15"/>
      <c r="S172" s="14"/>
      <c r="T172" s="14"/>
      <c r="U172" s="114" t="s">
        <v>1519</v>
      </c>
      <c r="V172" s="14"/>
      <c r="W172" s="14"/>
    </row>
    <row r="173" spans="1:23" x14ac:dyDescent="0.25">
      <c r="E173" s="8"/>
      <c r="F173" s="8"/>
      <c r="G173" s="8"/>
      <c r="H173" s="8"/>
      <c r="I173" s="12"/>
      <c r="J173" s="8"/>
      <c r="K173" s="12"/>
      <c r="L173" s="16"/>
      <c r="M173" s="12"/>
      <c r="N173" s="8"/>
      <c r="O173" s="12"/>
      <c r="P173" s="8"/>
      <c r="Q173" s="16"/>
      <c r="R173" s="12"/>
      <c r="S173" s="8"/>
      <c r="T173" s="8"/>
      <c r="U173" s="8"/>
      <c r="V173" s="8"/>
      <c r="W173" s="8"/>
    </row>
    <row r="174" spans="1:23" x14ac:dyDescent="0.25">
      <c r="E174" s="8"/>
      <c r="F174" s="8"/>
      <c r="G174" s="8"/>
      <c r="H174" s="8"/>
      <c r="I174" s="16"/>
      <c r="J174" s="8"/>
      <c r="K174" s="8"/>
      <c r="L174" s="16"/>
      <c r="M174" s="8"/>
      <c r="N174" s="8"/>
      <c r="O174" s="12"/>
      <c r="P174" s="8"/>
      <c r="Q174" s="16"/>
      <c r="R174" s="8"/>
      <c r="S174" s="8"/>
      <c r="T174" s="8"/>
      <c r="U174" s="8"/>
      <c r="V174" s="8"/>
      <c r="W174" s="8"/>
    </row>
    <row r="175" spans="1:23" x14ac:dyDescent="0.25">
      <c r="E175" s="8"/>
      <c r="F175" s="8"/>
      <c r="G175" s="8"/>
      <c r="H175" s="8"/>
      <c r="I175" s="8"/>
      <c r="J175" s="16"/>
      <c r="K175" s="16"/>
      <c r="L175" s="17"/>
      <c r="M175" s="17" t="s">
        <v>311</v>
      </c>
      <c r="N175" s="12"/>
      <c r="O175" s="18" t="s">
        <v>395</v>
      </c>
      <c r="P175" s="16"/>
      <c r="Q175" s="8"/>
      <c r="R175" s="16"/>
      <c r="S175" s="16"/>
      <c r="T175" s="16"/>
      <c r="U175" s="16"/>
      <c r="V175" s="16"/>
      <c r="W175" s="8"/>
    </row>
    <row r="176" spans="1:23" x14ac:dyDescent="0.25">
      <c r="E176" s="8"/>
      <c r="F176" s="8"/>
      <c r="G176" s="8"/>
      <c r="H176" s="8"/>
      <c r="I176" s="8"/>
      <c r="J176" s="16"/>
      <c r="K176" s="16"/>
      <c r="L176" s="16"/>
      <c r="M176" s="16"/>
      <c r="N176" s="16"/>
      <c r="O176" s="12"/>
      <c r="P176" s="16"/>
      <c r="Q176" s="16"/>
      <c r="R176" s="16"/>
      <c r="S176" s="16"/>
      <c r="T176" s="16"/>
      <c r="U176" s="16"/>
      <c r="V176" s="16"/>
      <c r="W176" s="16"/>
    </row>
    <row r="177" spans="1:23" x14ac:dyDescent="0.25">
      <c r="E177" s="57" t="s">
        <v>313</v>
      </c>
      <c r="F177" s="196" t="s">
        <v>314</v>
      </c>
      <c r="G177" s="20"/>
      <c r="H177" s="21"/>
      <c r="I177" s="22"/>
      <c r="J177" s="22"/>
      <c r="K177" s="23" t="s">
        <v>315</v>
      </c>
      <c r="L177" s="22"/>
      <c r="M177" s="22"/>
      <c r="N177" s="20"/>
      <c r="O177" s="24"/>
      <c r="P177" s="22"/>
      <c r="Q177" s="23"/>
      <c r="R177" s="23" t="s">
        <v>316</v>
      </c>
      <c r="S177" s="22"/>
      <c r="T177" s="22"/>
      <c r="U177" s="20"/>
      <c r="V177" s="25" t="s">
        <v>317</v>
      </c>
      <c r="W177" s="25" t="s">
        <v>318</v>
      </c>
    </row>
    <row r="178" spans="1:23" ht="15.75" thickBot="1" x14ac:dyDescent="0.3">
      <c r="A178" s="85" t="s">
        <v>809</v>
      </c>
      <c r="B178" s="85" t="s">
        <v>551</v>
      </c>
      <c r="C178" s="85" t="s">
        <v>552</v>
      </c>
      <c r="E178" s="58" t="s">
        <v>319</v>
      </c>
      <c r="F178" s="192" t="s">
        <v>320</v>
      </c>
      <c r="G178" s="27"/>
      <c r="H178" s="9"/>
      <c r="I178" s="58" t="s">
        <v>321</v>
      </c>
      <c r="J178" s="28"/>
      <c r="K178" s="28" t="s">
        <v>322</v>
      </c>
      <c r="L178" s="28"/>
      <c r="M178" s="28" t="s">
        <v>323</v>
      </c>
      <c r="N178" s="28"/>
      <c r="O178" s="28"/>
      <c r="P178" s="28" t="s">
        <v>321</v>
      </c>
      <c r="Q178" s="28"/>
      <c r="R178" s="28" t="s">
        <v>322</v>
      </c>
      <c r="S178" s="28"/>
      <c r="T178" s="28" t="s">
        <v>323</v>
      </c>
      <c r="U178" s="27"/>
      <c r="V178" s="29" t="s">
        <v>324</v>
      </c>
      <c r="W178" s="29" t="s">
        <v>325</v>
      </c>
    </row>
    <row r="179" spans="1:23" x14ac:dyDescent="0.25">
      <c r="E179" s="57">
        <v>1</v>
      </c>
      <c r="F179" s="30"/>
      <c r="G179" s="31"/>
      <c r="H179" s="8"/>
      <c r="I179" s="8"/>
      <c r="J179" s="35"/>
      <c r="K179" s="35"/>
      <c r="L179" s="35"/>
      <c r="M179" s="35"/>
      <c r="N179" s="31"/>
      <c r="O179" s="24"/>
      <c r="P179" s="31"/>
      <c r="Q179" s="35"/>
      <c r="R179" s="35"/>
      <c r="S179" s="35"/>
      <c r="T179" s="35"/>
      <c r="U179" s="35"/>
      <c r="V179" s="35"/>
      <c r="W179" s="35"/>
    </row>
    <row r="180" spans="1:23" x14ac:dyDescent="0.25">
      <c r="E180" s="57">
        <f>+E179+1</f>
        <v>2</v>
      </c>
      <c r="F180" s="31" t="s">
        <v>326</v>
      </c>
      <c r="G180" s="8"/>
      <c r="H180" s="8"/>
      <c r="I180" s="8"/>
      <c r="J180" s="8"/>
      <c r="K180" s="8"/>
      <c r="L180" s="8"/>
      <c r="M180" s="8"/>
      <c r="N180" s="8"/>
      <c r="O180" s="57"/>
      <c r="P180" s="8"/>
      <c r="Q180" s="8"/>
      <c r="R180" s="8"/>
      <c r="S180" s="8"/>
      <c r="T180" s="8"/>
      <c r="U180" s="8"/>
      <c r="V180" s="8"/>
      <c r="W180" s="8"/>
    </row>
    <row r="181" spans="1:23" x14ac:dyDescent="0.25">
      <c r="B181" t="s">
        <v>100</v>
      </c>
      <c r="C181" t="s">
        <v>553</v>
      </c>
      <c r="E181" s="57">
        <f t="shared" ref="E181:E217" si="59">+E180+1</f>
        <v>3</v>
      </c>
      <c r="F181" s="193" t="s">
        <v>772</v>
      </c>
      <c r="G181" s="8"/>
      <c r="H181" s="8"/>
      <c r="I181" s="8">
        <f>+INDEX('2025 Billing Determinants'!B:B,MATCH('2027 GSD Rate Class E-13c'!B181,'2025 Billing Determinants'!A:A,0))</f>
        <v>0</v>
      </c>
      <c r="J181" s="32" t="s">
        <v>328</v>
      </c>
      <c r="K181" s="47">
        <f>+INDEX('2026 Base Rates'!E:E,MATCH('2027 GSD Rate Class E-13c'!C181,'2026 Base Rates'!D:D,0))</f>
        <v>1.8221798095199999</v>
      </c>
      <c r="L181" s="8"/>
      <c r="M181" s="33">
        <f>+I181*K181</f>
        <v>0</v>
      </c>
      <c r="N181" s="8"/>
      <c r="O181" s="57"/>
      <c r="P181" s="8">
        <f>+INDEX('2025 Billing Determinants'!B:B,MATCH('2027 GSD Rate Class E-13c'!B181,'2025 Billing Determinants'!A:A,0))</f>
        <v>0</v>
      </c>
      <c r="Q181" s="32" t="s">
        <v>328</v>
      </c>
      <c r="R181" s="47">
        <f t="shared" ref="R181:R186" si="60">+K181*(1+$C$7)</f>
        <v>1.8955389787430039</v>
      </c>
      <c r="S181" s="8"/>
      <c r="T181" s="33">
        <f>+P181*R181</f>
        <v>0</v>
      </c>
      <c r="U181" s="8"/>
      <c r="V181" s="32">
        <f t="shared" ref="V181:V187" si="61">+T181-M181</f>
        <v>0</v>
      </c>
      <c r="W181" s="41">
        <f t="shared" ref="W181:W187" si="62">+IF(V181=0,0,(T181-M181)/M181)</f>
        <v>0</v>
      </c>
    </row>
    <row r="182" spans="1:23" x14ac:dyDescent="0.25">
      <c r="B182" t="s">
        <v>101</v>
      </c>
      <c r="C182" t="s">
        <v>554</v>
      </c>
      <c r="E182" s="57">
        <f t="shared" si="59"/>
        <v>4</v>
      </c>
      <c r="F182" s="193" t="s">
        <v>745</v>
      </c>
      <c r="G182" s="8"/>
      <c r="H182" s="8"/>
      <c r="I182" s="8">
        <f>+INDEX('2025 Billing Determinants'!B:B,MATCH('2027 GSD Rate Class E-13c'!B182,'2025 Billing Determinants'!A:A,0))</f>
        <v>0</v>
      </c>
      <c r="J182" s="32" t="s">
        <v>328</v>
      </c>
      <c r="K182" s="47">
        <f>+INDEX('2026 Base Rates'!E:E,MATCH('2027 GSD Rate Class E-13c'!C182,'2026 Base Rates'!D:D,0))</f>
        <v>9.9160482657599989</v>
      </c>
      <c r="L182" s="8"/>
      <c r="M182" s="33">
        <f t="shared" ref="M182:M186" si="63">+I182*K182</f>
        <v>0</v>
      </c>
      <c r="N182" s="8"/>
      <c r="O182" s="57"/>
      <c r="P182" s="8">
        <f>+INDEX('2025 Billing Determinants'!B:B,MATCH('2027 GSD Rate Class E-13c'!B182,'2025 Billing Determinants'!A:A,0))</f>
        <v>0</v>
      </c>
      <c r="Q182" s="32" t="s">
        <v>328</v>
      </c>
      <c r="R182" s="47">
        <f t="shared" si="60"/>
        <v>10.315258628508438</v>
      </c>
      <c r="S182" s="8"/>
      <c r="T182" s="33">
        <f t="shared" ref="T182:T186" si="64">+P182*R182</f>
        <v>0</v>
      </c>
      <c r="U182" s="8"/>
      <c r="V182" s="32">
        <f t="shared" si="61"/>
        <v>0</v>
      </c>
      <c r="W182" s="41">
        <f t="shared" si="62"/>
        <v>0</v>
      </c>
    </row>
    <row r="183" spans="1:23" x14ac:dyDescent="0.25">
      <c r="B183" t="s">
        <v>102</v>
      </c>
      <c r="C183" t="s">
        <v>555</v>
      </c>
      <c r="E183" s="57">
        <f t="shared" si="59"/>
        <v>5</v>
      </c>
      <c r="F183" s="193" t="s">
        <v>768</v>
      </c>
      <c r="G183" s="8"/>
      <c r="H183" s="8"/>
      <c r="I183" s="8">
        <f>+INDEX('2025 Billing Determinants'!B:B,MATCH('2027 GSD Rate Class E-13c'!B183,'2025 Billing Determinants'!A:A,0))</f>
        <v>0</v>
      </c>
      <c r="J183" s="32" t="s">
        <v>328</v>
      </c>
      <c r="K183" s="47">
        <f>+INDEX('2026 Base Rates'!E:E,MATCH('2027 GSD Rate Class E-13c'!C183,'2026 Base Rates'!D:D,0))</f>
        <v>27.290320868160002</v>
      </c>
      <c r="L183" s="8"/>
      <c r="M183" s="33">
        <f t="shared" si="63"/>
        <v>0</v>
      </c>
      <c r="N183" s="8"/>
      <c r="O183" s="57"/>
      <c r="P183" s="8">
        <f>+INDEX('2025 Billing Determinants'!B:B,MATCH('2027 GSD Rate Class E-13c'!B183,'2025 Billing Determinants'!A:A,0))</f>
        <v>0</v>
      </c>
      <c r="Q183" s="32" t="s">
        <v>328</v>
      </c>
      <c r="R183" s="47">
        <f t="shared" si="60"/>
        <v>28.38900237931383</v>
      </c>
      <c r="S183" s="8"/>
      <c r="T183" s="33">
        <f t="shared" si="64"/>
        <v>0</v>
      </c>
      <c r="U183" s="8"/>
      <c r="V183" s="32">
        <f t="shared" si="61"/>
        <v>0</v>
      </c>
      <c r="W183" s="41">
        <f t="shared" si="62"/>
        <v>0</v>
      </c>
    </row>
    <row r="184" spans="1:23" x14ac:dyDescent="0.25">
      <c r="B184" t="s">
        <v>141</v>
      </c>
      <c r="C184" t="s">
        <v>556</v>
      </c>
      <c r="E184" s="57">
        <f t="shared" si="59"/>
        <v>6</v>
      </c>
      <c r="F184" s="8" t="s">
        <v>773</v>
      </c>
      <c r="G184" s="8"/>
      <c r="H184" s="8"/>
      <c r="I184" s="8">
        <f>+INDEX('2025 Billing Determinants'!B:B,MATCH('2027 GSD Rate Class E-13c'!B184,'2025 Billing Determinants'!A:A,0))</f>
        <v>0</v>
      </c>
      <c r="J184" s="32" t="s">
        <v>328</v>
      </c>
      <c r="K184" s="47">
        <f>+INDEX('2026 Base Rates'!E:E,MATCH('2027 GSD Rate Class E-13c'!C184,'2026 Base Rates'!D:D,0))</f>
        <v>1.8221798095199999</v>
      </c>
      <c r="L184" s="8"/>
      <c r="M184" s="33">
        <f t="shared" si="63"/>
        <v>0</v>
      </c>
      <c r="N184" s="8"/>
      <c r="O184" s="57"/>
      <c r="P184" s="8">
        <f>+INDEX('2025 Billing Determinants'!B:B,MATCH('2027 GSD Rate Class E-13c'!B184,'2025 Billing Determinants'!A:A,0))</f>
        <v>0</v>
      </c>
      <c r="Q184" s="32" t="s">
        <v>328</v>
      </c>
      <c r="R184" s="47">
        <f t="shared" si="60"/>
        <v>1.8955389787430039</v>
      </c>
      <c r="S184" s="8"/>
      <c r="T184" s="33">
        <f t="shared" si="64"/>
        <v>0</v>
      </c>
      <c r="U184" s="8"/>
      <c r="V184" s="32">
        <f t="shared" si="61"/>
        <v>0</v>
      </c>
      <c r="W184" s="41">
        <f t="shared" si="62"/>
        <v>0</v>
      </c>
    </row>
    <row r="185" spans="1:23" x14ac:dyDescent="0.25">
      <c r="B185" t="s">
        <v>142</v>
      </c>
      <c r="C185" t="s">
        <v>557</v>
      </c>
      <c r="E185" s="57">
        <f t="shared" si="59"/>
        <v>7</v>
      </c>
      <c r="F185" s="8" t="s">
        <v>746</v>
      </c>
      <c r="G185" s="31"/>
      <c r="H185" s="8"/>
      <c r="I185" s="8">
        <f>+INDEX('2025 Billing Determinants'!B:B,MATCH('2027 GSD Rate Class E-13c'!B185,'2025 Billing Determinants'!A:A,0))</f>
        <v>0</v>
      </c>
      <c r="J185" s="32" t="s">
        <v>328</v>
      </c>
      <c r="K185" s="47">
        <f>+INDEX('2026 Base Rates'!E:E,MATCH('2027 GSD Rate Class E-13c'!C185,'2026 Base Rates'!D:D,0))</f>
        <v>9.9160482657599989</v>
      </c>
      <c r="L185" s="32"/>
      <c r="M185" s="33">
        <f t="shared" si="63"/>
        <v>0</v>
      </c>
      <c r="N185" s="33"/>
      <c r="O185" s="42"/>
      <c r="P185" s="8">
        <f>+INDEX('2025 Billing Determinants'!B:B,MATCH('2027 GSD Rate Class E-13c'!B185,'2025 Billing Determinants'!A:A,0))</f>
        <v>0</v>
      </c>
      <c r="Q185" s="32" t="s">
        <v>328</v>
      </c>
      <c r="R185" s="47">
        <f t="shared" si="60"/>
        <v>10.315258628508438</v>
      </c>
      <c r="S185" s="32"/>
      <c r="T185" s="33">
        <f t="shared" si="64"/>
        <v>0</v>
      </c>
      <c r="U185" s="8"/>
      <c r="V185" s="32">
        <f t="shared" si="61"/>
        <v>0</v>
      </c>
      <c r="W185" s="41">
        <f t="shared" si="62"/>
        <v>0</v>
      </c>
    </row>
    <row r="186" spans="1:23" x14ac:dyDescent="0.25">
      <c r="B186" t="s">
        <v>143</v>
      </c>
      <c r="C186" t="s">
        <v>558</v>
      </c>
      <c r="E186" s="57">
        <f t="shared" si="59"/>
        <v>8</v>
      </c>
      <c r="F186" s="8" t="s">
        <v>769</v>
      </c>
      <c r="G186" s="8"/>
      <c r="H186" s="8"/>
      <c r="I186" s="206">
        <f>+INDEX('2025 Billing Determinants'!B:B,MATCH('2027 GSD Rate Class E-13c'!B186,'2025 Billing Determinants'!A:A,0))</f>
        <v>0</v>
      </c>
      <c r="J186" s="32" t="s">
        <v>328</v>
      </c>
      <c r="K186" s="47">
        <f>+INDEX('2026 Base Rates'!E:E,MATCH('2027 GSD Rate Class E-13c'!C186,'2026 Base Rates'!D:D,0))</f>
        <v>27.290320868160002</v>
      </c>
      <c r="L186" s="8"/>
      <c r="M186" s="33">
        <f t="shared" si="63"/>
        <v>0</v>
      </c>
      <c r="N186" s="8"/>
      <c r="O186" s="57"/>
      <c r="P186" s="206">
        <f>+INDEX('2025 Billing Determinants'!B:B,MATCH('2027 GSD Rate Class E-13c'!B186,'2025 Billing Determinants'!A:A,0))</f>
        <v>0</v>
      </c>
      <c r="Q186" s="32" t="s">
        <v>328</v>
      </c>
      <c r="R186" s="47">
        <f t="shared" si="60"/>
        <v>28.38900237931383</v>
      </c>
      <c r="S186" s="8"/>
      <c r="T186" s="33">
        <f t="shared" si="64"/>
        <v>0</v>
      </c>
      <c r="U186" s="8"/>
      <c r="V186" s="32">
        <f t="shared" si="61"/>
        <v>0</v>
      </c>
      <c r="W186" s="41">
        <f t="shared" si="62"/>
        <v>0</v>
      </c>
    </row>
    <row r="187" spans="1:23" x14ac:dyDescent="0.25">
      <c r="E187" s="57">
        <f t="shared" si="59"/>
        <v>9</v>
      </c>
      <c r="F187" s="31" t="s">
        <v>747</v>
      </c>
      <c r="G187" s="31"/>
      <c r="H187" s="8"/>
      <c r="I187" s="8">
        <f>+SUM(I181:I186)</f>
        <v>0</v>
      </c>
      <c r="J187" s="32" t="s">
        <v>341</v>
      </c>
      <c r="K187" s="47"/>
      <c r="L187" s="32"/>
      <c r="M187" s="101">
        <f>+SUM(M181:M186)</f>
        <v>0</v>
      </c>
      <c r="N187" s="32"/>
      <c r="O187" s="42"/>
      <c r="P187" s="8">
        <f>+SUM(P181:P186)</f>
        <v>0</v>
      </c>
      <c r="Q187" s="32" t="s">
        <v>341</v>
      </c>
      <c r="R187" s="47"/>
      <c r="S187" s="32"/>
      <c r="T187" s="101">
        <f>+SUM(T181:T186)</f>
        <v>0</v>
      </c>
      <c r="U187" s="8"/>
      <c r="V187" s="32">
        <f t="shared" si="61"/>
        <v>0</v>
      </c>
      <c r="W187" s="41">
        <f t="shared" si="62"/>
        <v>0</v>
      </c>
    </row>
    <row r="188" spans="1:23" x14ac:dyDescent="0.25">
      <c r="E188" s="57">
        <f t="shared" si="59"/>
        <v>10</v>
      </c>
      <c r="F188" s="8"/>
      <c r="G188" s="8"/>
      <c r="H188" s="8"/>
      <c r="I188" s="8"/>
      <c r="J188" s="8"/>
      <c r="K188" s="8"/>
      <c r="L188" s="8"/>
      <c r="M188" s="33"/>
      <c r="N188" s="8"/>
      <c r="O188" s="57"/>
      <c r="P188" s="8"/>
      <c r="Q188" s="8"/>
      <c r="R188" s="8"/>
      <c r="S188" s="8"/>
      <c r="T188" s="33"/>
      <c r="U188" s="8"/>
      <c r="V188" s="8"/>
      <c r="W188" s="8"/>
    </row>
    <row r="189" spans="1:23" x14ac:dyDescent="0.25">
      <c r="E189" s="57">
        <f t="shared" si="59"/>
        <v>11</v>
      </c>
      <c r="F189" s="31" t="s">
        <v>400</v>
      </c>
      <c r="G189" s="8"/>
      <c r="H189" s="8"/>
      <c r="I189" s="8"/>
      <c r="J189" s="8"/>
      <c r="K189" s="8"/>
      <c r="L189" s="8"/>
      <c r="M189" s="33"/>
      <c r="N189" s="8"/>
      <c r="O189" s="57"/>
      <c r="P189" s="8"/>
      <c r="Q189" s="8"/>
      <c r="R189" s="8"/>
      <c r="S189" s="8"/>
      <c r="T189" s="33"/>
      <c r="U189" s="8"/>
      <c r="V189" s="8"/>
      <c r="W189" s="8"/>
    </row>
    <row r="190" spans="1:23" x14ac:dyDescent="0.25">
      <c r="B190" t="s">
        <v>111</v>
      </c>
      <c r="C190" t="s">
        <v>567</v>
      </c>
      <c r="E190" s="57">
        <f t="shared" si="59"/>
        <v>12</v>
      </c>
      <c r="F190" s="193" t="s">
        <v>772</v>
      </c>
      <c r="G190" s="8"/>
      <c r="H190" s="8"/>
      <c r="I190" s="8">
        <f>+INDEX('2025 Billing Determinants'!B:B,MATCH('2027 GSD Rate Class E-13c'!B190,'2025 Billing Determinants'!A:A,0))</f>
        <v>0</v>
      </c>
      <c r="J190" s="32" t="s">
        <v>710</v>
      </c>
      <c r="K190" s="106">
        <f>+INDEX('2026 Base Rates'!E:E,MATCH('2027 GSD Rate Class E-13c'!C190,'2026 Base Rates'!D:D,0))</f>
        <v>8.1870962604480013E-3</v>
      </c>
      <c r="L190" s="8"/>
      <c r="M190" s="33">
        <f>+I190*K190</f>
        <v>0</v>
      </c>
      <c r="N190" s="8"/>
      <c r="O190" s="57"/>
      <c r="P190" s="8">
        <f>+INDEX('2025 Billing Determinants'!B:B,MATCH('2027 GSD Rate Class E-13c'!B190,'2025 Billing Determinants'!A:A,0))</f>
        <v>0</v>
      </c>
      <c r="Q190" s="32" t="s">
        <v>710</v>
      </c>
      <c r="R190" s="106">
        <f t="shared" ref="R190:R201" si="65">+K190*(1+$C$7)</f>
        <v>8.5167007137941491E-3</v>
      </c>
      <c r="S190" s="8"/>
      <c r="T190" s="33">
        <f>+P190*R190</f>
        <v>0</v>
      </c>
      <c r="U190" s="8"/>
      <c r="V190" s="32">
        <f t="shared" ref="V190:V198" si="66">+T190-M190</f>
        <v>0</v>
      </c>
      <c r="W190" s="41">
        <f t="shared" ref="W190:W198" si="67">+IF(V190=0,0,(T190-M190)/M190)</f>
        <v>0</v>
      </c>
    </row>
    <row r="191" spans="1:23" x14ac:dyDescent="0.25">
      <c r="B191" t="s">
        <v>112</v>
      </c>
      <c r="C191" t="s">
        <v>568</v>
      </c>
      <c r="E191" s="57">
        <f t="shared" si="59"/>
        <v>13</v>
      </c>
      <c r="F191" s="193" t="s">
        <v>745</v>
      </c>
      <c r="G191" s="8"/>
      <c r="H191" s="8"/>
      <c r="I191" s="8">
        <f>+INDEX('2025 Billing Determinants'!B:B,MATCH('2027 GSD Rate Class E-13c'!B191,'2025 Billing Determinants'!A:A,0))</f>
        <v>0</v>
      </c>
      <c r="J191" s="32" t="s">
        <v>710</v>
      </c>
      <c r="K191" s="106">
        <f>+INDEX('2026 Base Rates'!E:E,MATCH('2027 GSD Rate Class E-13c'!C191,'2026 Base Rates'!D:D,0))</f>
        <v>8.1870962604480013E-3</v>
      </c>
      <c r="L191" s="8"/>
      <c r="M191" s="33">
        <f t="shared" ref="M191:M201" si="68">+I191*K191</f>
        <v>0</v>
      </c>
      <c r="N191" s="8"/>
      <c r="O191" s="57"/>
      <c r="P191" s="8">
        <f>+INDEX('2025 Billing Determinants'!B:B,MATCH('2027 GSD Rate Class E-13c'!B191,'2025 Billing Determinants'!A:A,0))</f>
        <v>0</v>
      </c>
      <c r="Q191" s="32" t="s">
        <v>710</v>
      </c>
      <c r="R191" s="106">
        <f t="shared" si="65"/>
        <v>8.5167007137941491E-3</v>
      </c>
      <c r="S191" s="8"/>
      <c r="T191" s="33">
        <f t="shared" ref="T191:T201" si="69">+P191*R191</f>
        <v>0</v>
      </c>
      <c r="U191" s="8"/>
      <c r="V191" s="32">
        <f t="shared" si="66"/>
        <v>0</v>
      </c>
      <c r="W191" s="41">
        <f t="shared" si="67"/>
        <v>0</v>
      </c>
    </row>
    <row r="192" spans="1:23" x14ac:dyDescent="0.25">
      <c r="B192" t="s">
        <v>113</v>
      </c>
      <c r="C192" t="s">
        <v>569</v>
      </c>
      <c r="E192" s="57">
        <f t="shared" si="59"/>
        <v>14</v>
      </c>
      <c r="F192" s="193" t="s">
        <v>768</v>
      </c>
      <c r="G192" s="8"/>
      <c r="H192" s="8"/>
      <c r="I192" s="8">
        <f>+INDEX('2025 Billing Determinants'!B:B,MATCH('2027 GSD Rate Class E-13c'!B192,'2025 Billing Determinants'!A:A,0))</f>
        <v>0</v>
      </c>
      <c r="J192" s="32" t="s">
        <v>710</v>
      </c>
      <c r="K192" s="106">
        <f>+INDEX('2026 Base Rates'!E:E,MATCH('2027 GSD Rate Class E-13c'!C192,'2026 Base Rates'!D:D,0))</f>
        <v>8.1870962604480013E-3</v>
      </c>
      <c r="L192" s="8"/>
      <c r="M192" s="33">
        <f t="shared" si="68"/>
        <v>0</v>
      </c>
      <c r="N192" s="8"/>
      <c r="O192" s="57"/>
      <c r="P192" s="8">
        <f>+INDEX('2025 Billing Determinants'!B:B,MATCH('2027 GSD Rate Class E-13c'!B192,'2025 Billing Determinants'!A:A,0))</f>
        <v>0</v>
      </c>
      <c r="Q192" s="32" t="s">
        <v>710</v>
      </c>
      <c r="R192" s="106">
        <f t="shared" si="65"/>
        <v>8.5167007137941491E-3</v>
      </c>
      <c r="S192" s="8"/>
      <c r="T192" s="33">
        <f t="shared" si="69"/>
        <v>0</v>
      </c>
      <c r="U192" s="8"/>
      <c r="V192" s="32">
        <f t="shared" si="66"/>
        <v>0</v>
      </c>
      <c r="W192" s="41">
        <f t="shared" si="67"/>
        <v>0</v>
      </c>
    </row>
    <row r="193" spans="2:23" x14ac:dyDescent="0.25">
      <c r="B193" t="s">
        <v>156</v>
      </c>
      <c r="C193" t="s">
        <v>570</v>
      </c>
      <c r="E193" s="57">
        <f t="shared" si="59"/>
        <v>15</v>
      </c>
      <c r="F193" s="8" t="s">
        <v>774</v>
      </c>
      <c r="G193" s="8"/>
      <c r="H193" s="8"/>
      <c r="I193" s="8">
        <f>+INDEX('2025 Billing Determinants'!B:B,MATCH('2027 GSD Rate Class E-13c'!B193,'2025 Billing Determinants'!A:A,0))</f>
        <v>0</v>
      </c>
      <c r="J193" s="32" t="s">
        <v>710</v>
      </c>
      <c r="K193" s="106">
        <f>+INDEX('2026 Base Rates'!E:E,MATCH('2027 GSD Rate Class E-13c'!C193,'2026 Base Rates'!D:D,0))</f>
        <v>1.3170546158112001E-2</v>
      </c>
      <c r="L193" s="8"/>
      <c r="M193" s="33">
        <f t="shared" si="68"/>
        <v>0</v>
      </c>
      <c r="N193" s="8"/>
      <c r="O193" s="57"/>
      <c r="P193" s="8">
        <f>+INDEX('2025 Billing Determinants'!B:B,MATCH('2027 GSD Rate Class E-13c'!B193,'2025 Billing Determinants'!A:A,0))</f>
        <v>0</v>
      </c>
      <c r="Q193" s="32" t="s">
        <v>710</v>
      </c>
      <c r="R193" s="106">
        <f t="shared" si="65"/>
        <v>1.3700779409147108E-2</v>
      </c>
      <c r="S193" s="8"/>
      <c r="T193" s="33">
        <f t="shared" si="69"/>
        <v>0</v>
      </c>
      <c r="U193" s="8"/>
      <c r="V193" s="32">
        <f t="shared" si="66"/>
        <v>0</v>
      </c>
      <c r="W193" s="41">
        <f t="shared" si="67"/>
        <v>0</v>
      </c>
    </row>
    <row r="194" spans="2:23" x14ac:dyDescent="0.25">
      <c r="B194" t="s">
        <v>157</v>
      </c>
      <c r="C194" t="s">
        <v>571</v>
      </c>
      <c r="E194" s="57">
        <f t="shared" si="59"/>
        <v>16</v>
      </c>
      <c r="F194" s="8" t="s">
        <v>748</v>
      </c>
      <c r="G194" s="8"/>
      <c r="H194" s="8"/>
      <c r="I194" s="8">
        <f>+INDEX('2025 Billing Determinants'!B:B,MATCH('2027 GSD Rate Class E-13c'!B194,'2025 Billing Determinants'!A:A,0))</f>
        <v>0</v>
      </c>
      <c r="J194" s="32" t="s">
        <v>710</v>
      </c>
      <c r="K194" s="106">
        <f>+INDEX('2026 Base Rates'!E:E,MATCH('2027 GSD Rate Class E-13c'!C194,'2026 Base Rates'!D:D,0))</f>
        <v>1.3170546158112001E-2</v>
      </c>
      <c r="L194" s="8"/>
      <c r="M194" s="33">
        <f t="shared" si="68"/>
        <v>0</v>
      </c>
      <c r="N194" s="8"/>
      <c r="O194" s="57"/>
      <c r="P194" s="8">
        <f>+INDEX('2025 Billing Determinants'!B:B,MATCH('2027 GSD Rate Class E-13c'!B194,'2025 Billing Determinants'!A:A,0))</f>
        <v>0</v>
      </c>
      <c r="Q194" s="32" t="s">
        <v>710</v>
      </c>
      <c r="R194" s="106">
        <f t="shared" si="65"/>
        <v>1.3700779409147108E-2</v>
      </c>
      <c r="S194" s="32"/>
      <c r="T194" s="33">
        <f t="shared" si="69"/>
        <v>0</v>
      </c>
      <c r="U194" s="8"/>
      <c r="V194" s="32">
        <f t="shared" si="66"/>
        <v>0</v>
      </c>
      <c r="W194" s="41">
        <f t="shared" si="67"/>
        <v>0</v>
      </c>
    </row>
    <row r="195" spans="2:23" x14ac:dyDescent="0.25">
      <c r="B195" t="s">
        <v>158</v>
      </c>
      <c r="C195" t="s">
        <v>572</v>
      </c>
      <c r="E195" s="57">
        <f t="shared" si="59"/>
        <v>17</v>
      </c>
      <c r="F195" s="8" t="s">
        <v>775</v>
      </c>
      <c r="G195" s="35"/>
      <c r="H195" s="8"/>
      <c r="I195" s="8">
        <f>+INDEX('2025 Billing Determinants'!B:B,MATCH('2027 GSD Rate Class E-13c'!B195,'2025 Billing Determinants'!A:A,0))</f>
        <v>0</v>
      </c>
      <c r="J195" s="32" t="s">
        <v>710</v>
      </c>
      <c r="K195" s="106">
        <f>+INDEX('2026 Base Rates'!E:E,MATCH('2027 GSD Rate Class E-13c'!C195,'2026 Base Rates'!D:D,0))</f>
        <v>1.3170546158112001E-2</v>
      </c>
      <c r="L195" s="32"/>
      <c r="M195" s="33">
        <f t="shared" si="68"/>
        <v>0</v>
      </c>
      <c r="N195" s="32"/>
      <c r="O195" s="42"/>
      <c r="P195" s="8">
        <f>+INDEX('2025 Billing Determinants'!B:B,MATCH('2027 GSD Rate Class E-13c'!B195,'2025 Billing Determinants'!A:A,0))</f>
        <v>0</v>
      </c>
      <c r="Q195" s="32" t="s">
        <v>710</v>
      </c>
      <c r="R195" s="106">
        <f t="shared" si="65"/>
        <v>1.3700779409147108E-2</v>
      </c>
      <c r="S195" s="8"/>
      <c r="T195" s="33">
        <f t="shared" si="69"/>
        <v>0</v>
      </c>
      <c r="U195" s="8"/>
      <c r="V195" s="32">
        <f t="shared" si="66"/>
        <v>0</v>
      </c>
      <c r="W195" s="41">
        <f t="shared" si="67"/>
        <v>0</v>
      </c>
    </row>
    <row r="196" spans="2:23" x14ac:dyDescent="0.25">
      <c r="B196" t="s">
        <v>160</v>
      </c>
      <c r="C196" t="s">
        <v>575</v>
      </c>
      <c r="E196" s="57">
        <f t="shared" si="59"/>
        <v>18</v>
      </c>
      <c r="F196" s="8" t="s">
        <v>776</v>
      </c>
      <c r="G196" s="8"/>
      <c r="H196" s="8"/>
      <c r="I196" s="8">
        <f>+INDEX('2025 Billing Determinants'!B:B,MATCH('2027 GSD Rate Class E-13c'!B196,'2025 Billing Determinants'!A:A,0))</f>
        <v>0</v>
      </c>
      <c r="J196" s="32" t="s">
        <v>710</v>
      </c>
      <c r="K196" s="106">
        <f>+INDEX('2026 Base Rates'!E:E,MATCH('2027 GSD Rate Class E-13c'!C196,'2026 Base Rates'!D:D,0))</f>
        <v>8.6574729089519999E-3</v>
      </c>
      <c r="L196" s="8"/>
      <c r="M196" s="33">
        <f t="shared" si="68"/>
        <v>0</v>
      </c>
      <c r="N196" s="8"/>
      <c r="O196" s="57"/>
      <c r="P196" s="8">
        <f>+INDEX('2025 Billing Determinants'!B:B,MATCH('2027 GSD Rate Class E-13c'!B196,'2025 Billing Determinants'!A:A,0))</f>
        <v>0</v>
      </c>
      <c r="Q196" s="32" t="s">
        <v>710</v>
      </c>
      <c r="R196" s="106">
        <f t="shared" si="65"/>
        <v>9.0060142641208308E-3</v>
      </c>
      <c r="S196" s="8"/>
      <c r="T196" s="33">
        <f t="shared" si="69"/>
        <v>0</v>
      </c>
      <c r="U196" s="8"/>
      <c r="V196" s="32">
        <f t="shared" si="66"/>
        <v>0</v>
      </c>
      <c r="W196" s="41">
        <f t="shared" si="67"/>
        <v>0</v>
      </c>
    </row>
    <row r="197" spans="2:23" x14ac:dyDescent="0.25">
      <c r="B197" t="s">
        <v>161</v>
      </c>
      <c r="C197" t="s">
        <v>573</v>
      </c>
      <c r="E197" s="57">
        <f t="shared" si="59"/>
        <v>19</v>
      </c>
      <c r="F197" s="8" t="s">
        <v>749</v>
      </c>
      <c r="G197" s="35"/>
      <c r="H197" s="8"/>
      <c r="I197" s="8">
        <f>+INDEX('2025 Billing Determinants'!B:B,MATCH('2027 GSD Rate Class E-13c'!B197,'2025 Billing Determinants'!A:A,0))</f>
        <v>0</v>
      </c>
      <c r="J197" s="32" t="s">
        <v>710</v>
      </c>
      <c r="K197" s="106">
        <f>+INDEX('2026 Base Rates'!E:E,MATCH('2027 GSD Rate Class E-13c'!C197,'2026 Base Rates'!D:D,0))</f>
        <v>8.6574729089519999E-3</v>
      </c>
      <c r="L197" s="32"/>
      <c r="M197" s="33">
        <f t="shared" si="68"/>
        <v>0</v>
      </c>
      <c r="N197" s="32"/>
      <c r="O197" s="42"/>
      <c r="P197" s="8">
        <f>+INDEX('2025 Billing Determinants'!B:B,MATCH('2027 GSD Rate Class E-13c'!B197,'2025 Billing Determinants'!A:A,0))</f>
        <v>0</v>
      </c>
      <c r="Q197" s="32" t="s">
        <v>710</v>
      </c>
      <c r="R197" s="106">
        <f t="shared" si="65"/>
        <v>9.0060142641208308E-3</v>
      </c>
      <c r="S197" s="8"/>
      <c r="T197" s="33">
        <f t="shared" si="69"/>
        <v>0</v>
      </c>
      <c r="U197" s="8"/>
      <c r="V197" s="32">
        <f t="shared" si="66"/>
        <v>0</v>
      </c>
      <c r="W197" s="41">
        <f t="shared" si="67"/>
        <v>0</v>
      </c>
    </row>
    <row r="198" spans="2:23" x14ac:dyDescent="0.25">
      <c r="B198" t="s">
        <v>162</v>
      </c>
      <c r="C198" t="s">
        <v>574</v>
      </c>
      <c r="E198" s="57">
        <f t="shared" si="59"/>
        <v>20</v>
      </c>
      <c r="F198" s="8" t="s">
        <v>777</v>
      </c>
      <c r="G198" s="8"/>
      <c r="H198" s="8"/>
      <c r="I198" s="8">
        <f>+INDEX('2025 Billing Determinants'!B:B,MATCH('2027 GSD Rate Class E-13c'!B198,'2025 Billing Determinants'!A:A,0))</f>
        <v>0</v>
      </c>
      <c r="J198" s="32" t="s">
        <v>710</v>
      </c>
      <c r="K198" s="106">
        <f>+INDEX('2026 Base Rates'!E:E,MATCH('2027 GSD Rate Class E-13c'!C198,'2026 Base Rates'!D:D,0))</f>
        <v>8.6574729089519999E-3</v>
      </c>
      <c r="L198" s="8"/>
      <c r="M198" s="33">
        <f t="shared" si="68"/>
        <v>0</v>
      </c>
      <c r="N198" s="8"/>
      <c r="O198" s="57"/>
      <c r="P198" s="8">
        <f>+INDEX('2025 Billing Determinants'!B:B,MATCH('2027 GSD Rate Class E-13c'!B198,'2025 Billing Determinants'!A:A,0))</f>
        <v>0</v>
      </c>
      <c r="Q198" s="32" t="s">
        <v>710</v>
      </c>
      <c r="R198" s="106">
        <f t="shared" si="65"/>
        <v>9.0060142641208308E-3</v>
      </c>
      <c r="S198" s="8"/>
      <c r="T198" s="33">
        <f t="shared" si="69"/>
        <v>0</v>
      </c>
      <c r="U198" s="8"/>
      <c r="V198" s="32">
        <f t="shared" si="66"/>
        <v>0</v>
      </c>
      <c r="W198" s="41">
        <f t="shared" si="67"/>
        <v>0</v>
      </c>
    </row>
    <row r="199" spans="2:23" x14ac:dyDescent="0.25">
      <c r="B199" t="s">
        <v>896</v>
      </c>
      <c r="C199" t="s">
        <v>1237</v>
      </c>
      <c r="E199" s="57">
        <f t="shared" si="59"/>
        <v>21</v>
      </c>
      <c r="F199" s="8" t="s">
        <v>1269</v>
      </c>
      <c r="I199" s="8">
        <f>+INDEX('2025 Billing Determinants'!B:B,MATCH('2027 GSD Rate Class E-13c'!B199,'2025 Billing Determinants'!A:A,0))</f>
        <v>0</v>
      </c>
      <c r="J199" s="32" t="s">
        <v>710</v>
      </c>
      <c r="K199" s="106">
        <f>+INDEX('2026 Base Rates'!E:E,MATCH('2027 GSD Rate Class E-13c'!C199,'2026 Base Rates'!D:D,0))</f>
        <v>4.8859844659920005E-3</v>
      </c>
      <c r="M199" s="33">
        <f t="shared" si="68"/>
        <v>0</v>
      </c>
      <c r="P199" s="8">
        <f>+INDEX('2025 Billing Determinants'!B:B,MATCH('2027 GSD Rate Class E-13c'!B199,'2025 Billing Determinants'!A:A,0))</f>
        <v>0</v>
      </c>
      <c r="Q199" s="32" t="s">
        <v>710</v>
      </c>
      <c r="R199" s="106">
        <f t="shared" si="65"/>
        <v>5.0826894011411251E-3</v>
      </c>
      <c r="T199" s="33">
        <f t="shared" si="69"/>
        <v>0</v>
      </c>
      <c r="V199" s="32">
        <f t="shared" ref="V199:V201" si="70">+T199-M199</f>
        <v>0</v>
      </c>
      <c r="W199" s="41">
        <f t="shared" ref="W199:W201" si="71">+IF(V199=0,0,(T199-M199)/M199)</f>
        <v>0</v>
      </c>
    </row>
    <row r="200" spans="2:23" x14ac:dyDescent="0.25">
      <c r="B200" t="s">
        <v>897</v>
      </c>
      <c r="C200" t="s">
        <v>1238</v>
      </c>
      <c r="E200" s="57">
        <f t="shared" si="59"/>
        <v>22</v>
      </c>
      <c r="F200" s="8" t="s">
        <v>1270</v>
      </c>
      <c r="I200" s="8">
        <f>+INDEX('2025 Billing Determinants'!B:B,MATCH('2027 GSD Rate Class E-13c'!B200,'2025 Billing Determinants'!A:A,0))</f>
        <v>0</v>
      </c>
      <c r="J200" s="32" t="s">
        <v>710</v>
      </c>
      <c r="K200" s="106">
        <f>+INDEX('2026 Base Rates'!E:E,MATCH('2027 GSD Rate Class E-13c'!C200,'2026 Base Rates'!D:D,0))</f>
        <v>4.8859844659920005E-3</v>
      </c>
      <c r="M200" s="33">
        <f t="shared" si="68"/>
        <v>0</v>
      </c>
      <c r="P200" s="8">
        <f>+INDEX('2025 Billing Determinants'!B:B,MATCH('2027 GSD Rate Class E-13c'!B200,'2025 Billing Determinants'!A:A,0))</f>
        <v>0</v>
      </c>
      <c r="Q200" s="32" t="s">
        <v>710</v>
      </c>
      <c r="R200" s="106">
        <f t="shared" si="65"/>
        <v>5.0826894011411251E-3</v>
      </c>
      <c r="T200" s="33">
        <f t="shared" si="69"/>
        <v>0</v>
      </c>
      <c r="V200" s="32">
        <f t="shared" si="70"/>
        <v>0</v>
      </c>
      <c r="W200" s="41">
        <f t="shared" si="71"/>
        <v>0</v>
      </c>
    </row>
    <row r="201" spans="2:23" x14ac:dyDescent="0.25">
      <c r="B201" t="s">
        <v>898</v>
      </c>
      <c r="C201" t="s">
        <v>1239</v>
      </c>
      <c r="E201" s="57">
        <f t="shared" si="59"/>
        <v>23</v>
      </c>
      <c r="F201" s="8" t="s">
        <v>1271</v>
      </c>
      <c r="I201" s="206">
        <f>+INDEX('2025 Billing Determinants'!B:B,MATCH('2027 GSD Rate Class E-13c'!B201,'2025 Billing Determinants'!A:A,0))</f>
        <v>0</v>
      </c>
      <c r="J201" s="32" t="s">
        <v>710</v>
      </c>
      <c r="K201" s="106">
        <f>+INDEX('2026 Base Rates'!E:E,MATCH('2027 GSD Rate Class E-13c'!C201,'2026 Base Rates'!D:D,0))</f>
        <v>4.8859844659920005E-3</v>
      </c>
      <c r="M201" s="33">
        <f t="shared" si="68"/>
        <v>0</v>
      </c>
      <c r="P201" s="206">
        <f>+INDEX('2025 Billing Determinants'!B:B,MATCH('2027 GSD Rate Class E-13c'!B201,'2025 Billing Determinants'!A:A,0))</f>
        <v>0</v>
      </c>
      <c r="Q201" s="32" t="s">
        <v>710</v>
      </c>
      <c r="R201" s="106">
        <f t="shared" si="65"/>
        <v>5.0826894011411251E-3</v>
      </c>
      <c r="T201" s="33">
        <f t="shared" si="69"/>
        <v>0</v>
      </c>
      <c r="V201" s="32">
        <f t="shared" si="70"/>
        <v>0</v>
      </c>
      <c r="W201" s="41">
        <f t="shared" si="71"/>
        <v>0</v>
      </c>
    </row>
    <row r="202" spans="2:23" x14ac:dyDescent="0.25">
      <c r="E202" s="57">
        <f t="shared" si="59"/>
        <v>24</v>
      </c>
      <c r="F202" s="8" t="s">
        <v>335</v>
      </c>
      <c r="G202" s="8"/>
      <c r="H202" s="8"/>
      <c r="I202" s="8">
        <f>+SUM(I190:I201)</f>
        <v>0</v>
      </c>
      <c r="J202" s="32"/>
      <c r="K202" s="47"/>
      <c r="L202" s="8"/>
      <c r="M202" s="101">
        <f>+SUM(M190:M201)</f>
        <v>0</v>
      </c>
      <c r="N202" s="8"/>
      <c r="O202" s="57"/>
      <c r="P202" s="8">
        <f>+SUM(P190:P201)</f>
        <v>0</v>
      </c>
      <c r="Q202" s="32"/>
      <c r="R202" s="47"/>
      <c r="S202" s="8"/>
      <c r="T202" s="101">
        <f>+SUM(T190:T201)</f>
        <v>0</v>
      </c>
      <c r="U202" s="8"/>
      <c r="V202" s="32">
        <f>+T202-M202</f>
        <v>0</v>
      </c>
      <c r="W202" s="41">
        <f>+IF(V202=0,0,(T202-M202)/M202)</f>
        <v>0</v>
      </c>
    </row>
    <row r="203" spans="2:23" x14ac:dyDescent="0.25">
      <c r="E203" s="57">
        <f t="shared" si="59"/>
        <v>25</v>
      </c>
      <c r="F203" s="8"/>
      <c r="G203" s="8"/>
      <c r="H203" s="8"/>
      <c r="I203" s="33"/>
      <c r="J203" s="32"/>
      <c r="K203" s="47"/>
      <c r="L203" s="8"/>
      <c r="M203" s="33"/>
      <c r="N203" s="8"/>
      <c r="O203" s="57"/>
      <c r="P203" s="33"/>
      <c r="Q203" s="32"/>
      <c r="R203" s="47"/>
      <c r="S203" s="8"/>
      <c r="T203" s="33"/>
      <c r="U203" s="8"/>
      <c r="V203" s="8"/>
      <c r="W203" s="43"/>
    </row>
    <row r="204" spans="2:23" x14ac:dyDescent="0.25">
      <c r="E204" s="57">
        <f t="shared" si="59"/>
        <v>26</v>
      </c>
      <c r="F204" s="31" t="s">
        <v>407</v>
      </c>
      <c r="G204" s="8"/>
      <c r="H204" s="8"/>
      <c r="I204" s="8"/>
      <c r="J204" s="8"/>
      <c r="K204" s="47"/>
      <c r="L204" s="8"/>
      <c r="M204" s="33"/>
      <c r="N204" s="8"/>
      <c r="O204" s="57"/>
      <c r="P204" s="8"/>
      <c r="Q204" s="8"/>
      <c r="R204" s="47"/>
      <c r="S204" s="8"/>
      <c r="T204" s="33"/>
      <c r="U204" s="8"/>
      <c r="V204" s="8"/>
      <c r="W204" s="8"/>
    </row>
    <row r="205" spans="2:23" x14ac:dyDescent="0.25">
      <c r="B205" t="s">
        <v>122</v>
      </c>
      <c r="C205" t="s">
        <v>584</v>
      </c>
      <c r="E205" s="57">
        <f t="shared" si="59"/>
        <v>27</v>
      </c>
      <c r="F205" s="31" t="s">
        <v>360</v>
      </c>
      <c r="G205" s="8"/>
      <c r="H205" s="8"/>
      <c r="I205" s="8">
        <f>+INDEX('2025 Billing Determinants'!B:B,MATCH('2027 GSD Rate Class E-13c'!B205,'2025 Billing Determinants'!A:A,0))</f>
        <v>0</v>
      </c>
      <c r="J205" s="32" t="s">
        <v>710</v>
      </c>
      <c r="K205" s="106">
        <f>+INDEX('2026 Base Rates'!E:E,MATCH('2027 GSD Rate Class E-13c'!C205,'2026 Base Rates'!D:D,0))</f>
        <v>9.5330726837010004E-3</v>
      </c>
      <c r="L205" s="8"/>
      <c r="M205" s="33">
        <f>+I205*K205</f>
        <v>0</v>
      </c>
      <c r="N205" s="8"/>
      <c r="O205" s="57"/>
      <c r="P205" s="8">
        <f>+INDEX('2025 Billing Determinants'!B:B,MATCH('2027 GSD Rate Class E-13c'!B205,'2025 Billing Determinants'!A:A,0))</f>
        <v>0</v>
      </c>
      <c r="Q205" s="32" t="s">
        <v>710</v>
      </c>
      <c r="R205" s="106">
        <f t="shared" ref="R205:R216" si="72">+K205*(1+$C$7)</f>
        <v>9.916864825708676E-3</v>
      </c>
      <c r="S205" s="8"/>
      <c r="T205" s="33">
        <f>+P205*R205</f>
        <v>0</v>
      </c>
      <c r="U205" s="8"/>
      <c r="V205" s="32">
        <f t="shared" ref="V205:V213" si="73">+T205-M205</f>
        <v>0</v>
      </c>
      <c r="W205" s="41">
        <f t="shared" ref="W205:W213" si="74">+IF(V205=0,0,(T205-M205)/M205)</f>
        <v>0</v>
      </c>
    </row>
    <row r="206" spans="2:23" x14ac:dyDescent="0.25">
      <c r="B206" t="s">
        <v>123</v>
      </c>
      <c r="C206" t="s">
        <v>576</v>
      </c>
      <c r="E206" s="57">
        <f t="shared" si="59"/>
        <v>28</v>
      </c>
      <c r="F206" s="31" t="s">
        <v>441</v>
      </c>
      <c r="G206" s="8"/>
      <c r="H206" s="8"/>
      <c r="I206" s="8">
        <f>+INDEX('2025 Billing Determinants'!B:B,MATCH('2027 GSD Rate Class E-13c'!B206,'2025 Billing Determinants'!A:A,0))</f>
        <v>0</v>
      </c>
      <c r="J206" s="32" t="s">
        <v>710</v>
      </c>
      <c r="K206" s="106">
        <f>+INDEX('2026 Base Rates'!E:E,MATCH('2027 GSD Rate Class E-13c'!C206,'2026 Base Rates'!D:D,0))</f>
        <v>9.5330726837010004E-3</v>
      </c>
      <c r="L206" s="8"/>
      <c r="M206" s="33">
        <f t="shared" ref="M206:M213" si="75">+I206*K206</f>
        <v>0</v>
      </c>
      <c r="N206" s="8"/>
      <c r="O206" s="57"/>
      <c r="P206" s="8">
        <f>+INDEX('2025 Billing Determinants'!B:B,MATCH('2027 GSD Rate Class E-13c'!B206,'2025 Billing Determinants'!A:A,0))</f>
        <v>0</v>
      </c>
      <c r="Q206" s="32" t="s">
        <v>710</v>
      </c>
      <c r="R206" s="106">
        <f t="shared" si="72"/>
        <v>9.916864825708676E-3</v>
      </c>
      <c r="S206" s="8"/>
      <c r="T206" s="33">
        <f t="shared" ref="T206:T213" si="76">+P206*R206</f>
        <v>0</v>
      </c>
      <c r="U206" s="8"/>
      <c r="V206" s="32">
        <f t="shared" si="73"/>
        <v>0</v>
      </c>
      <c r="W206" s="41">
        <f t="shared" si="74"/>
        <v>0</v>
      </c>
    </row>
    <row r="207" spans="2:23" x14ac:dyDescent="0.25">
      <c r="B207" t="s">
        <v>124</v>
      </c>
      <c r="C207" t="s">
        <v>577</v>
      </c>
      <c r="E207" s="57">
        <f t="shared" si="59"/>
        <v>29</v>
      </c>
      <c r="F207" s="31" t="s">
        <v>778</v>
      </c>
      <c r="G207" s="8"/>
      <c r="H207" s="8"/>
      <c r="I207" s="8">
        <f>+INDEX('2025 Billing Determinants'!B:B,MATCH('2027 GSD Rate Class E-13c'!B207,'2025 Billing Determinants'!A:A,0))</f>
        <v>0</v>
      </c>
      <c r="J207" s="32" t="s">
        <v>710</v>
      </c>
      <c r="K207" s="106">
        <f>+INDEX('2026 Base Rates'!E:E,MATCH('2027 GSD Rate Class E-13c'!C207,'2026 Base Rates'!D:D,0))</f>
        <v>9.5330726837010004E-3</v>
      </c>
      <c r="L207" s="8"/>
      <c r="M207" s="33">
        <f t="shared" si="75"/>
        <v>0</v>
      </c>
      <c r="N207" s="8"/>
      <c r="O207" s="57"/>
      <c r="P207" s="8">
        <f>+INDEX('2025 Billing Determinants'!B:B,MATCH('2027 GSD Rate Class E-13c'!B207,'2025 Billing Determinants'!A:A,0))</f>
        <v>0</v>
      </c>
      <c r="Q207" s="32" t="s">
        <v>710</v>
      </c>
      <c r="R207" s="106">
        <f t="shared" si="72"/>
        <v>9.916864825708676E-3</v>
      </c>
      <c r="S207" s="8"/>
      <c r="T207" s="33">
        <f t="shared" si="76"/>
        <v>0</v>
      </c>
      <c r="U207" s="8"/>
      <c r="V207" s="32">
        <f t="shared" si="73"/>
        <v>0</v>
      </c>
      <c r="W207" s="41">
        <f t="shared" si="74"/>
        <v>0</v>
      </c>
    </row>
    <row r="208" spans="2:23" x14ac:dyDescent="0.25">
      <c r="B208" t="s">
        <v>179</v>
      </c>
      <c r="C208" t="s">
        <v>578</v>
      </c>
      <c r="E208" s="57">
        <f t="shared" si="59"/>
        <v>30</v>
      </c>
      <c r="F208" s="8" t="s">
        <v>779</v>
      </c>
      <c r="G208" s="8"/>
      <c r="H208" s="8"/>
      <c r="I208" s="8">
        <f>+INDEX('2025 Billing Determinants'!B:B,MATCH('2027 GSD Rate Class E-13c'!B208,'2025 Billing Determinants'!A:A,0))</f>
        <v>0</v>
      </c>
      <c r="J208" s="32" t="s">
        <v>710</v>
      </c>
      <c r="K208" s="106">
        <f>+INDEX('2026 Base Rates'!E:E,MATCH('2027 GSD Rate Class E-13c'!C208,'2026 Base Rates'!D:D,0))</f>
        <v>9.5330726837010004E-3</v>
      </c>
      <c r="L208" s="8"/>
      <c r="M208" s="33">
        <f t="shared" si="75"/>
        <v>0</v>
      </c>
      <c r="N208" s="8"/>
      <c r="O208" s="57"/>
      <c r="P208" s="8">
        <f>+INDEX('2025 Billing Determinants'!B:B,MATCH('2027 GSD Rate Class E-13c'!B208,'2025 Billing Determinants'!A:A,0))</f>
        <v>0</v>
      </c>
      <c r="Q208" s="32" t="s">
        <v>710</v>
      </c>
      <c r="R208" s="106">
        <f t="shared" si="72"/>
        <v>9.916864825708676E-3</v>
      </c>
      <c r="S208" s="8"/>
      <c r="T208" s="33">
        <f t="shared" si="76"/>
        <v>0</v>
      </c>
      <c r="U208" s="32"/>
      <c r="V208" s="32">
        <f t="shared" si="73"/>
        <v>0</v>
      </c>
      <c r="W208" s="41">
        <f t="shared" si="74"/>
        <v>0</v>
      </c>
    </row>
    <row r="209" spans="1:23" x14ac:dyDescent="0.25">
      <c r="B209" t="s">
        <v>180</v>
      </c>
      <c r="C209" t="s">
        <v>579</v>
      </c>
      <c r="E209" s="57">
        <f t="shared" si="59"/>
        <v>31</v>
      </c>
      <c r="F209" s="8" t="s">
        <v>748</v>
      </c>
      <c r="G209" s="8"/>
      <c r="H209" s="8"/>
      <c r="I209" s="8">
        <f>+INDEX('2025 Billing Determinants'!B:B,MATCH('2027 GSD Rate Class E-13c'!B209,'2025 Billing Determinants'!A:A,0))</f>
        <v>0</v>
      </c>
      <c r="J209" s="32" t="s">
        <v>710</v>
      </c>
      <c r="K209" s="106">
        <f>+INDEX('2026 Base Rates'!E:E,MATCH('2027 GSD Rate Class E-13c'!C209,'2026 Base Rates'!D:D,0))</f>
        <v>9.5330726837010004E-3</v>
      </c>
      <c r="L209" s="8"/>
      <c r="M209" s="33">
        <f t="shared" si="75"/>
        <v>0</v>
      </c>
      <c r="N209" s="8"/>
      <c r="O209" s="57"/>
      <c r="P209" s="8">
        <f>+INDEX('2025 Billing Determinants'!B:B,MATCH('2027 GSD Rate Class E-13c'!B209,'2025 Billing Determinants'!A:A,0))</f>
        <v>0</v>
      </c>
      <c r="Q209" s="32" t="s">
        <v>710</v>
      </c>
      <c r="R209" s="106">
        <f t="shared" si="72"/>
        <v>9.916864825708676E-3</v>
      </c>
      <c r="S209" s="8"/>
      <c r="T209" s="33">
        <f t="shared" si="76"/>
        <v>0</v>
      </c>
      <c r="U209" s="32"/>
      <c r="V209" s="32">
        <f t="shared" si="73"/>
        <v>0</v>
      </c>
      <c r="W209" s="41">
        <f t="shared" si="74"/>
        <v>0</v>
      </c>
    </row>
    <row r="210" spans="1:23" x14ac:dyDescent="0.25">
      <c r="B210" t="s">
        <v>181</v>
      </c>
      <c r="C210" t="s">
        <v>580</v>
      </c>
      <c r="E210" s="57">
        <f t="shared" si="59"/>
        <v>32</v>
      </c>
      <c r="F210" s="8" t="s">
        <v>775</v>
      </c>
      <c r="G210" s="35"/>
      <c r="H210" s="8"/>
      <c r="I210" s="8">
        <f>+INDEX('2025 Billing Determinants'!B:B,MATCH('2027 GSD Rate Class E-13c'!B210,'2025 Billing Determinants'!A:A,0))</f>
        <v>0</v>
      </c>
      <c r="J210" s="32" t="s">
        <v>710</v>
      </c>
      <c r="K210" s="106">
        <f>+INDEX('2026 Base Rates'!E:E,MATCH('2027 GSD Rate Class E-13c'!C210,'2026 Base Rates'!D:D,0))</f>
        <v>9.5330726837010004E-3</v>
      </c>
      <c r="L210" s="32"/>
      <c r="M210" s="33">
        <f t="shared" si="75"/>
        <v>0</v>
      </c>
      <c r="N210" s="32"/>
      <c r="O210" s="42"/>
      <c r="P210" s="8">
        <f>+INDEX('2025 Billing Determinants'!B:B,MATCH('2027 GSD Rate Class E-13c'!B210,'2025 Billing Determinants'!A:A,0))</f>
        <v>0</v>
      </c>
      <c r="Q210" s="32" t="s">
        <v>710</v>
      </c>
      <c r="R210" s="106">
        <f t="shared" si="72"/>
        <v>9.916864825708676E-3</v>
      </c>
      <c r="S210" s="8"/>
      <c r="T210" s="33">
        <f t="shared" si="76"/>
        <v>0</v>
      </c>
      <c r="U210" s="8"/>
      <c r="V210" s="32">
        <f t="shared" si="73"/>
        <v>0</v>
      </c>
      <c r="W210" s="41">
        <f t="shared" si="74"/>
        <v>0</v>
      </c>
    </row>
    <row r="211" spans="1:23" x14ac:dyDescent="0.25">
      <c r="B211" t="s">
        <v>183</v>
      </c>
      <c r="C211" t="s">
        <v>581</v>
      </c>
      <c r="E211" s="57">
        <f t="shared" si="59"/>
        <v>33</v>
      </c>
      <c r="F211" s="8" t="s">
        <v>780</v>
      </c>
      <c r="G211" s="8"/>
      <c r="H211" s="8"/>
      <c r="I211" s="8">
        <f>+INDEX('2025 Billing Determinants'!B:B,MATCH('2027 GSD Rate Class E-13c'!B211,'2025 Billing Determinants'!A:A,0))</f>
        <v>0</v>
      </c>
      <c r="J211" s="32" t="s">
        <v>710</v>
      </c>
      <c r="K211" s="106">
        <f>+INDEX('2026 Base Rates'!E:E,MATCH('2027 GSD Rate Class E-13c'!C211,'2026 Base Rates'!D:D,0))</f>
        <v>9.5330726837010004E-3</v>
      </c>
      <c r="L211" s="8"/>
      <c r="M211" s="33">
        <f t="shared" si="75"/>
        <v>0</v>
      </c>
      <c r="N211" s="8"/>
      <c r="O211" s="57"/>
      <c r="P211" s="8">
        <f>+INDEX('2025 Billing Determinants'!B:B,MATCH('2027 GSD Rate Class E-13c'!B211,'2025 Billing Determinants'!A:A,0))</f>
        <v>0</v>
      </c>
      <c r="Q211" s="32" t="s">
        <v>710</v>
      </c>
      <c r="R211" s="106">
        <f t="shared" si="72"/>
        <v>9.916864825708676E-3</v>
      </c>
      <c r="S211" s="8"/>
      <c r="T211" s="33">
        <f t="shared" si="76"/>
        <v>0</v>
      </c>
      <c r="U211" s="8"/>
      <c r="V211" s="32">
        <f t="shared" si="73"/>
        <v>0</v>
      </c>
      <c r="W211" s="41">
        <f t="shared" si="74"/>
        <v>0</v>
      </c>
    </row>
    <row r="212" spans="1:23" x14ac:dyDescent="0.25">
      <c r="B212" t="s">
        <v>184</v>
      </c>
      <c r="C212" t="s">
        <v>582</v>
      </c>
      <c r="E212" s="57">
        <f t="shared" si="59"/>
        <v>34</v>
      </c>
      <c r="F212" s="8" t="s">
        <v>749</v>
      </c>
      <c r="G212" s="8"/>
      <c r="H212" s="8"/>
      <c r="I212" s="8">
        <f>+INDEX('2025 Billing Determinants'!B:B,MATCH('2027 GSD Rate Class E-13c'!B212,'2025 Billing Determinants'!A:A,0))</f>
        <v>0</v>
      </c>
      <c r="J212" s="32" t="s">
        <v>710</v>
      </c>
      <c r="K212" s="106">
        <f>+INDEX('2026 Base Rates'!E:E,MATCH('2027 GSD Rate Class E-13c'!C212,'2026 Base Rates'!D:D,0))</f>
        <v>9.5330726837010004E-3</v>
      </c>
      <c r="L212" s="8"/>
      <c r="M212" s="33">
        <f t="shared" si="75"/>
        <v>0</v>
      </c>
      <c r="N212" s="8"/>
      <c r="O212" s="57"/>
      <c r="P212" s="8">
        <f>+INDEX('2025 Billing Determinants'!B:B,MATCH('2027 GSD Rate Class E-13c'!B212,'2025 Billing Determinants'!A:A,0))</f>
        <v>0</v>
      </c>
      <c r="Q212" s="32" t="s">
        <v>710</v>
      </c>
      <c r="R212" s="106">
        <f t="shared" si="72"/>
        <v>9.916864825708676E-3</v>
      </c>
      <c r="S212" s="8"/>
      <c r="T212" s="33">
        <f t="shared" si="76"/>
        <v>0</v>
      </c>
      <c r="U212" s="8"/>
      <c r="V212" s="32">
        <f t="shared" si="73"/>
        <v>0</v>
      </c>
      <c r="W212" s="41">
        <f t="shared" si="74"/>
        <v>0</v>
      </c>
    </row>
    <row r="213" spans="1:23" x14ac:dyDescent="0.25">
      <c r="B213" t="s">
        <v>185</v>
      </c>
      <c r="C213" t="s">
        <v>583</v>
      </c>
      <c r="E213" s="57">
        <f t="shared" si="59"/>
        <v>35</v>
      </c>
      <c r="F213" s="8" t="s">
        <v>777</v>
      </c>
      <c r="G213" s="8"/>
      <c r="H213" s="8"/>
      <c r="I213" s="8">
        <f>+INDEX('2025 Billing Determinants'!B:B,MATCH('2027 GSD Rate Class E-13c'!B213,'2025 Billing Determinants'!A:A,0))</f>
        <v>0</v>
      </c>
      <c r="J213" s="32" t="s">
        <v>710</v>
      </c>
      <c r="K213" s="106">
        <f>+INDEX('2026 Base Rates'!E:E,MATCH('2027 GSD Rate Class E-13c'!C213,'2026 Base Rates'!D:D,0))</f>
        <v>9.5330726837010004E-3</v>
      </c>
      <c r="L213" s="8"/>
      <c r="M213" s="33">
        <f t="shared" si="75"/>
        <v>0</v>
      </c>
      <c r="N213" s="8"/>
      <c r="O213" s="57"/>
      <c r="P213" s="8">
        <f>+INDEX('2025 Billing Determinants'!B:B,MATCH('2027 GSD Rate Class E-13c'!B213,'2025 Billing Determinants'!A:A,0))</f>
        <v>0</v>
      </c>
      <c r="Q213" s="32" t="s">
        <v>710</v>
      </c>
      <c r="R213" s="106">
        <f t="shared" si="72"/>
        <v>9.916864825708676E-3</v>
      </c>
      <c r="S213" s="8"/>
      <c r="T213" s="33">
        <f t="shared" si="76"/>
        <v>0</v>
      </c>
      <c r="U213" s="32"/>
      <c r="V213" s="32">
        <f t="shared" si="73"/>
        <v>0</v>
      </c>
      <c r="W213" s="41">
        <f t="shared" si="74"/>
        <v>0</v>
      </c>
    </row>
    <row r="214" spans="1:23" x14ac:dyDescent="0.25">
      <c r="B214" t="s">
        <v>184</v>
      </c>
      <c r="C214" t="s">
        <v>1240</v>
      </c>
      <c r="E214" s="57">
        <f t="shared" si="59"/>
        <v>36</v>
      </c>
      <c r="F214" s="8" t="s">
        <v>1272</v>
      </c>
      <c r="G214" s="8"/>
      <c r="H214" s="8"/>
      <c r="I214" s="8">
        <f>+INDEX('2025 Billing Determinants'!B:B,MATCH('2027 GSD Rate Class E-13c'!B214,'2025 Billing Determinants'!A:A,0))</f>
        <v>0</v>
      </c>
      <c r="J214" s="32" t="s">
        <v>710</v>
      </c>
      <c r="K214" s="106">
        <f>+INDEX('2026 Base Rates'!E:E,MATCH('2027 GSD Rate Class E-13c'!C214,'2026 Base Rates'!D:D,0))</f>
        <v>9.5330726837010004E-3</v>
      </c>
      <c r="L214" s="8"/>
      <c r="M214" s="33">
        <f t="shared" ref="M214:M216" si="77">+I214*K214</f>
        <v>0</v>
      </c>
      <c r="N214" s="8"/>
      <c r="O214" s="57"/>
      <c r="P214" s="8">
        <f>+INDEX('2025 Billing Determinants'!B:B,MATCH('2027 GSD Rate Class E-13c'!B214,'2025 Billing Determinants'!A:A,0))</f>
        <v>0</v>
      </c>
      <c r="Q214" s="32" t="s">
        <v>710</v>
      </c>
      <c r="R214" s="106">
        <f t="shared" si="72"/>
        <v>9.916864825708676E-3</v>
      </c>
      <c r="S214" s="8"/>
      <c r="T214" s="33">
        <f t="shared" ref="T214:T216" si="78">+P214*R214</f>
        <v>0</v>
      </c>
      <c r="U214" s="8"/>
      <c r="V214" s="32">
        <f t="shared" ref="V214:V216" si="79">+T214-M214</f>
        <v>0</v>
      </c>
      <c r="W214" s="41">
        <f t="shared" ref="W214:W216" si="80">+IF(V214=0,0,(T214-M214)/M214)</f>
        <v>0</v>
      </c>
    </row>
    <row r="215" spans="1:23" x14ac:dyDescent="0.25">
      <c r="B215" t="s">
        <v>185</v>
      </c>
      <c r="C215" t="s">
        <v>1241</v>
      </c>
      <c r="E215" s="57">
        <f t="shared" si="59"/>
        <v>37</v>
      </c>
      <c r="F215" s="8" t="s">
        <v>1270</v>
      </c>
      <c r="G215" s="8"/>
      <c r="H215" s="8"/>
      <c r="I215" s="8">
        <f>+INDEX('2025 Billing Determinants'!B:B,MATCH('2027 GSD Rate Class E-13c'!B215,'2025 Billing Determinants'!A:A,0))</f>
        <v>0</v>
      </c>
      <c r="J215" s="32" t="s">
        <v>710</v>
      </c>
      <c r="K215" s="106">
        <f>+INDEX('2026 Base Rates'!E:E,MATCH('2027 GSD Rate Class E-13c'!C215,'2026 Base Rates'!D:D,0))</f>
        <v>9.5330726837010004E-3</v>
      </c>
      <c r="L215" s="8"/>
      <c r="M215" s="33">
        <f t="shared" si="77"/>
        <v>0</v>
      </c>
      <c r="N215" s="8"/>
      <c r="O215" s="57"/>
      <c r="P215" s="8">
        <f>+INDEX('2025 Billing Determinants'!B:B,MATCH('2027 GSD Rate Class E-13c'!B215,'2025 Billing Determinants'!A:A,0))</f>
        <v>0</v>
      </c>
      <c r="Q215" s="32" t="s">
        <v>710</v>
      </c>
      <c r="R215" s="106">
        <f t="shared" si="72"/>
        <v>9.916864825708676E-3</v>
      </c>
      <c r="S215" s="8"/>
      <c r="T215" s="33">
        <f t="shared" si="78"/>
        <v>0</v>
      </c>
      <c r="U215" s="8"/>
      <c r="V215" s="32">
        <f t="shared" si="79"/>
        <v>0</v>
      </c>
      <c r="W215" s="41">
        <f t="shared" si="80"/>
        <v>0</v>
      </c>
    </row>
    <row r="216" spans="1:23" x14ac:dyDescent="0.25">
      <c r="B216" t="s">
        <v>899</v>
      </c>
      <c r="C216" t="s">
        <v>1242</v>
      </c>
      <c r="E216" s="57">
        <f t="shared" si="59"/>
        <v>38</v>
      </c>
      <c r="F216" s="8" t="s">
        <v>1271</v>
      </c>
      <c r="G216" s="8"/>
      <c r="H216" s="8"/>
      <c r="I216" s="206">
        <v>0</v>
      </c>
      <c r="J216" s="32" t="s">
        <v>710</v>
      </c>
      <c r="K216" s="106">
        <f>+INDEX('2026 Base Rates'!E:E,MATCH('2027 GSD Rate Class E-13c'!C216,'2026 Base Rates'!D:D,0))</f>
        <v>9.5330726837010004E-3</v>
      </c>
      <c r="L216" s="8"/>
      <c r="M216" s="33">
        <f t="shared" si="77"/>
        <v>0</v>
      </c>
      <c r="N216" s="8"/>
      <c r="O216" s="57"/>
      <c r="P216" s="206">
        <f>+INDEX('2025 Billing Determinants'!B:B,MATCH('2027 GSD Rate Class E-13c'!B216,'2025 Billing Determinants'!A:A,0))</f>
        <v>0</v>
      </c>
      <c r="Q216" s="32" t="s">
        <v>710</v>
      </c>
      <c r="R216" s="106">
        <f t="shared" si="72"/>
        <v>9.916864825708676E-3</v>
      </c>
      <c r="S216" s="8"/>
      <c r="T216" s="100">
        <f t="shared" si="78"/>
        <v>0</v>
      </c>
      <c r="U216" s="32"/>
      <c r="V216" s="32">
        <f t="shared" si="79"/>
        <v>0</v>
      </c>
      <c r="W216" s="41">
        <f t="shared" si="80"/>
        <v>0</v>
      </c>
    </row>
    <row r="217" spans="1:23" ht="15.75" thickBot="1" x14ac:dyDescent="0.3">
      <c r="A217" s="59"/>
      <c r="E217" s="58">
        <f t="shared" si="59"/>
        <v>39</v>
      </c>
      <c r="F217" s="205" t="s">
        <v>747</v>
      </c>
      <c r="G217" s="9"/>
      <c r="H217" s="9"/>
      <c r="I217" s="9">
        <f>+SUM(I205:I216)</f>
        <v>0</v>
      </c>
      <c r="J217" s="9" t="s">
        <v>710</v>
      </c>
      <c r="K217" s="9"/>
      <c r="L217" s="9"/>
      <c r="M217" s="207">
        <f>+SUM(M205:M216)</f>
        <v>0</v>
      </c>
      <c r="N217" s="9"/>
      <c r="O217" s="58"/>
      <c r="P217" s="9">
        <f>+SUM(P205:P216)</f>
        <v>0</v>
      </c>
      <c r="Q217" s="9" t="s">
        <v>710</v>
      </c>
      <c r="R217" s="9"/>
      <c r="S217" s="9"/>
      <c r="T217" s="207">
        <f>+SUM(T205:T216)</f>
        <v>0</v>
      </c>
      <c r="U217" s="9"/>
      <c r="V217" s="144">
        <f>+T217-M217</f>
        <v>0</v>
      </c>
      <c r="W217" s="208">
        <f>+IF(V217=0,0,(T217-M217)/M217)</f>
        <v>0</v>
      </c>
    </row>
    <row r="218" spans="1:23" x14ac:dyDescent="0.25"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57"/>
      <c r="P218" s="8"/>
      <c r="Q218" s="8"/>
      <c r="R218" s="8"/>
      <c r="S218" s="8"/>
      <c r="T218" s="8"/>
      <c r="U218" s="8"/>
      <c r="V218" s="8"/>
      <c r="W218" s="8" t="s">
        <v>304</v>
      </c>
    </row>
    <row r="219" spans="1:23" x14ac:dyDescent="0.25">
      <c r="E219" s="8"/>
      <c r="F219" s="8"/>
      <c r="G219" s="8"/>
      <c r="H219" s="8"/>
      <c r="I219" s="8"/>
      <c r="J219" s="8"/>
      <c r="K219" s="8"/>
      <c r="L219" s="378"/>
      <c r="M219" s="378"/>
      <c r="N219" s="378"/>
      <c r="O219" s="378"/>
      <c r="P219" s="378"/>
      <c r="Q219" s="8"/>
      <c r="R219" s="8"/>
      <c r="S219" s="8"/>
      <c r="T219" s="8"/>
      <c r="U219" s="8"/>
      <c r="V219" s="8"/>
      <c r="W219" s="8"/>
    </row>
    <row r="220" spans="1:23" ht="15.75" thickBot="1" x14ac:dyDescent="0.3">
      <c r="E220" s="9" t="s">
        <v>305</v>
      </c>
      <c r="F220" s="9"/>
      <c r="G220" s="9"/>
      <c r="H220" s="9"/>
      <c r="I220" s="9"/>
      <c r="J220" s="9"/>
      <c r="K220" s="9"/>
      <c r="L220" s="379" t="s">
        <v>306</v>
      </c>
      <c r="M220" s="379"/>
      <c r="N220" s="379"/>
      <c r="O220" s="379"/>
      <c r="P220" s="379"/>
      <c r="Q220" s="9"/>
      <c r="R220" s="9"/>
      <c r="S220" s="9"/>
      <c r="T220" s="9"/>
      <c r="U220" s="9"/>
      <c r="V220" s="9"/>
      <c r="W220" s="13" t="s">
        <v>880</v>
      </c>
    </row>
    <row r="221" spans="1:23" x14ac:dyDescent="0.25">
      <c r="E221" s="8" t="s">
        <v>307</v>
      </c>
      <c r="F221" s="8"/>
      <c r="G221" s="8"/>
      <c r="H221" s="8"/>
      <c r="I221" s="8" t="s">
        <v>308</v>
      </c>
      <c r="J221" s="8" t="s">
        <v>910</v>
      </c>
      <c r="K221" s="8"/>
      <c r="L221" s="8"/>
      <c r="M221" s="8"/>
      <c r="N221" s="8"/>
      <c r="O221" s="98"/>
      <c r="P221" s="99"/>
      <c r="Q221" s="8"/>
      <c r="R221" s="8"/>
      <c r="S221" s="99"/>
      <c r="T221" s="99" t="s">
        <v>309</v>
      </c>
      <c r="U221" s="8"/>
      <c r="V221" s="8"/>
      <c r="W221" s="10"/>
    </row>
    <row r="222" spans="1:23" x14ac:dyDescent="0.25">
      <c r="E222" s="8"/>
      <c r="F222" s="8"/>
      <c r="G222" s="8"/>
      <c r="H222" s="8"/>
      <c r="I222" s="8"/>
      <c r="J222" s="8" t="s">
        <v>911</v>
      </c>
      <c r="K222" s="8"/>
      <c r="L222" s="8"/>
      <c r="M222" s="8"/>
      <c r="N222" s="8"/>
      <c r="O222" s="57"/>
      <c r="P222" s="10"/>
      <c r="Q222" s="8"/>
      <c r="R222" s="8"/>
      <c r="S222" s="11"/>
      <c r="T222" s="117" t="s">
        <v>916</v>
      </c>
      <c r="U222" s="116" t="s">
        <v>1512</v>
      </c>
      <c r="V222" s="8"/>
      <c r="W222" s="11"/>
    </row>
    <row r="223" spans="1:23" x14ac:dyDescent="0.25">
      <c r="E223" s="8" t="s">
        <v>310</v>
      </c>
      <c r="F223" s="8"/>
      <c r="G223" s="8"/>
      <c r="H223" s="8"/>
      <c r="I223" s="8"/>
      <c r="J223" s="8" t="s">
        <v>912</v>
      </c>
      <c r="K223" s="8"/>
      <c r="L223" s="8"/>
      <c r="M223" s="8"/>
      <c r="N223" s="8"/>
      <c r="O223" s="57"/>
      <c r="P223" s="10"/>
      <c r="Q223" s="11"/>
      <c r="R223" s="8"/>
      <c r="S223" s="8"/>
      <c r="T223" s="265"/>
      <c r="U223" s="116"/>
      <c r="V223" s="8"/>
      <c r="W223" s="11"/>
    </row>
    <row r="224" spans="1:23" x14ac:dyDescent="0.25">
      <c r="E224" s="8"/>
      <c r="F224" s="8"/>
      <c r="G224" s="8"/>
      <c r="H224" s="8"/>
      <c r="I224" s="8"/>
      <c r="J224" s="8" t="s">
        <v>913</v>
      </c>
      <c r="K224" s="8"/>
      <c r="L224" s="8"/>
      <c r="M224" s="8"/>
      <c r="N224" s="8"/>
      <c r="O224" s="57"/>
      <c r="P224" s="10"/>
      <c r="Q224" s="11"/>
      <c r="R224" s="8"/>
      <c r="S224" s="8"/>
      <c r="T224" s="265"/>
      <c r="U224" s="116"/>
      <c r="V224" s="8"/>
      <c r="W224" s="11"/>
    </row>
    <row r="225" spans="1:23" x14ac:dyDescent="0.25">
      <c r="E225" s="8"/>
      <c r="F225" s="8"/>
      <c r="G225" s="11"/>
      <c r="H225" s="8"/>
      <c r="I225" s="8"/>
      <c r="J225" s="8" t="s">
        <v>914</v>
      </c>
      <c r="K225" s="8"/>
      <c r="L225" s="12"/>
      <c r="M225" s="12"/>
      <c r="N225" s="12"/>
      <c r="O225" s="57"/>
      <c r="P225" s="8"/>
      <c r="Q225" s="8"/>
      <c r="R225" s="8"/>
      <c r="S225" s="8"/>
      <c r="T225" s="265"/>
      <c r="V225" s="8"/>
      <c r="W225" s="8"/>
    </row>
    <row r="226" spans="1:23" ht="15.75" thickBot="1" x14ac:dyDescent="0.3">
      <c r="E226" s="9" t="s">
        <v>1292</v>
      </c>
      <c r="F226" s="9"/>
      <c r="G226" s="13"/>
      <c r="H226" s="14"/>
      <c r="I226" s="14"/>
      <c r="J226" s="15" t="s">
        <v>915</v>
      </c>
      <c r="K226" s="15"/>
      <c r="L226" s="14"/>
      <c r="M226" s="14"/>
      <c r="N226" s="14"/>
      <c r="O226" s="14"/>
      <c r="P226" s="14"/>
      <c r="Q226" s="14"/>
      <c r="R226" s="15"/>
      <c r="S226" s="14"/>
      <c r="T226" s="14"/>
      <c r="U226" s="114" t="s">
        <v>1519</v>
      </c>
      <c r="V226" s="14"/>
      <c r="W226" s="14"/>
    </row>
    <row r="227" spans="1:23" x14ac:dyDescent="0.25">
      <c r="E227" s="8"/>
      <c r="F227" s="8"/>
      <c r="G227" s="8"/>
      <c r="H227" s="8"/>
      <c r="I227" s="12"/>
      <c r="J227" s="8"/>
      <c r="K227" s="12"/>
      <c r="L227" s="16"/>
      <c r="M227" s="12"/>
      <c r="N227" s="8"/>
      <c r="O227" s="12"/>
      <c r="P227" s="8"/>
      <c r="Q227" s="16"/>
      <c r="R227" s="12"/>
      <c r="S227" s="8"/>
      <c r="T227" s="8"/>
      <c r="U227" s="8"/>
      <c r="V227" s="8"/>
      <c r="W227" s="8"/>
    </row>
    <row r="228" spans="1:23" x14ac:dyDescent="0.25">
      <c r="E228" s="8"/>
      <c r="F228" s="8"/>
      <c r="G228" s="8"/>
      <c r="H228" s="8"/>
      <c r="I228" s="16"/>
      <c r="J228" s="8"/>
      <c r="K228" s="8"/>
      <c r="L228" s="16"/>
      <c r="M228" s="8"/>
      <c r="N228" s="8"/>
      <c r="O228" s="12"/>
      <c r="P228" s="8"/>
      <c r="Q228" s="16"/>
      <c r="R228" s="8"/>
      <c r="S228" s="8"/>
      <c r="T228" s="8"/>
      <c r="U228" s="8"/>
      <c r="V228" s="8"/>
      <c r="W228" s="8"/>
    </row>
    <row r="229" spans="1:23" x14ac:dyDescent="0.25">
      <c r="E229" s="8"/>
      <c r="F229" s="8"/>
      <c r="G229" s="8"/>
      <c r="H229" s="8"/>
      <c r="I229" s="8"/>
      <c r="J229" s="16"/>
      <c r="K229" s="16"/>
      <c r="L229" s="17"/>
      <c r="M229" s="17" t="s">
        <v>311</v>
      </c>
      <c r="N229" s="12"/>
      <c r="O229" s="18" t="s">
        <v>395</v>
      </c>
      <c r="P229" s="16"/>
      <c r="Q229" s="8"/>
      <c r="R229" s="16"/>
      <c r="S229" s="16"/>
      <c r="T229" s="16"/>
      <c r="U229" s="16"/>
      <c r="V229" s="16"/>
      <c r="W229" s="8"/>
    </row>
    <row r="230" spans="1:23" x14ac:dyDescent="0.25">
      <c r="E230" s="8"/>
      <c r="F230" s="8"/>
      <c r="G230" s="8"/>
      <c r="H230" s="8"/>
      <c r="I230" s="8"/>
      <c r="J230" s="16"/>
      <c r="K230" s="16"/>
      <c r="L230" s="16"/>
      <c r="M230" s="16"/>
      <c r="N230" s="16"/>
      <c r="O230" s="12"/>
      <c r="P230" s="16"/>
      <c r="Q230" s="16"/>
      <c r="R230" s="16"/>
      <c r="S230" s="16"/>
      <c r="T230" s="16"/>
      <c r="U230" s="16"/>
      <c r="V230" s="16"/>
      <c r="W230" s="16"/>
    </row>
    <row r="231" spans="1:23" x14ac:dyDescent="0.25">
      <c r="E231" s="57" t="s">
        <v>313</v>
      </c>
      <c r="F231" s="196" t="s">
        <v>314</v>
      </c>
      <c r="G231" s="20"/>
      <c r="H231" s="21"/>
      <c r="I231" s="22"/>
      <c r="J231" s="22"/>
      <c r="K231" s="23" t="s">
        <v>315</v>
      </c>
      <c r="L231" s="22"/>
      <c r="M231" s="22"/>
      <c r="N231" s="20"/>
      <c r="O231" s="24"/>
      <c r="P231" s="22"/>
      <c r="Q231" s="23"/>
      <c r="R231" s="23" t="s">
        <v>316</v>
      </c>
      <c r="S231" s="22"/>
      <c r="T231" s="22"/>
      <c r="U231" s="20"/>
      <c r="V231" s="25" t="s">
        <v>317</v>
      </c>
      <c r="W231" s="25" t="s">
        <v>318</v>
      </c>
    </row>
    <row r="232" spans="1:23" ht="15.75" thickBot="1" x14ac:dyDescent="0.3">
      <c r="A232" s="85" t="s">
        <v>809</v>
      </c>
      <c r="B232" s="85" t="s">
        <v>551</v>
      </c>
      <c r="C232" s="85" t="s">
        <v>552</v>
      </c>
      <c r="E232" s="58" t="s">
        <v>319</v>
      </c>
      <c r="F232" s="192" t="s">
        <v>320</v>
      </c>
      <c r="G232" s="27"/>
      <c r="H232" s="9"/>
      <c r="I232" s="58" t="s">
        <v>321</v>
      </c>
      <c r="J232" s="28"/>
      <c r="K232" s="28" t="s">
        <v>322</v>
      </c>
      <c r="L232" s="28"/>
      <c r="M232" s="28" t="s">
        <v>323</v>
      </c>
      <c r="N232" s="28"/>
      <c r="O232" s="28"/>
      <c r="P232" s="28" t="s">
        <v>321</v>
      </c>
      <c r="Q232" s="28"/>
      <c r="R232" s="28" t="s">
        <v>322</v>
      </c>
      <c r="S232" s="28"/>
      <c r="T232" s="28" t="s">
        <v>323</v>
      </c>
      <c r="U232" s="27"/>
      <c r="V232" s="29" t="s">
        <v>324</v>
      </c>
      <c r="W232" s="29" t="s">
        <v>325</v>
      </c>
    </row>
    <row r="233" spans="1:23" x14ac:dyDescent="0.25">
      <c r="E233" s="57">
        <v>1</v>
      </c>
      <c r="F233" s="380" t="s">
        <v>799</v>
      </c>
      <c r="G233" s="380"/>
      <c r="H233" s="380"/>
      <c r="I233" s="8"/>
      <c r="J233" s="35"/>
      <c r="K233" s="35"/>
      <c r="L233" s="35"/>
      <c r="M233" s="35"/>
      <c r="N233" s="31"/>
      <c r="O233" s="24"/>
      <c r="P233" s="31"/>
      <c r="Q233" s="35"/>
      <c r="R233" s="35"/>
      <c r="S233" s="35"/>
      <c r="T233" s="35"/>
      <c r="U233" s="35"/>
      <c r="V233" s="35"/>
      <c r="W233" s="35"/>
    </row>
    <row r="234" spans="1:23" x14ac:dyDescent="0.25">
      <c r="E234" s="57">
        <v>2</v>
      </c>
      <c r="F234" s="8"/>
      <c r="G234" s="8"/>
      <c r="H234" s="8"/>
      <c r="I234" s="8"/>
      <c r="J234" s="8"/>
      <c r="K234" s="8"/>
      <c r="L234" s="8"/>
      <c r="M234" s="8"/>
      <c r="N234" s="8"/>
      <c r="O234" s="57"/>
      <c r="P234" s="8"/>
      <c r="Q234" s="8"/>
      <c r="R234" s="8"/>
      <c r="S234" s="8"/>
      <c r="T234" s="8"/>
      <c r="U234" s="8"/>
      <c r="V234" s="8"/>
      <c r="W234" s="8"/>
    </row>
    <row r="235" spans="1:23" x14ac:dyDescent="0.25">
      <c r="E235" s="57">
        <v>3</v>
      </c>
      <c r="F235" s="31" t="s">
        <v>411</v>
      </c>
      <c r="G235" s="8"/>
      <c r="H235" s="8"/>
      <c r="I235" s="8"/>
      <c r="J235" s="8"/>
      <c r="K235" s="8"/>
      <c r="L235" s="8"/>
      <c r="M235" s="8"/>
      <c r="N235" s="8"/>
      <c r="O235" s="57"/>
      <c r="P235" s="8"/>
      <c r="Q235" s="8"/>
      <c r="R235" s="8"/>
      <c r="S235" s="8"/>
      <c r="T235" s="8"/>
      <c r="U235" s="8"/>
      <c r="V235" s="8"/>
      <c r="W235" s="8"/>
    </row>
    <row r="236" spans="1:23" x14ac:dyDescent="0.25">
      <c r="B236" t="s">
        <v>115</v>
      </c>
      <c r="C236" t="s">
        <v>586</v>
      </c>
      <c r="E236" s="57">
        <v>4</v>
      </c>
      <c r="F236" s="193" t="s">
        <v>772</v>
      </c>
      <c r="G236" s="8"/>
      <c r="H236" s="8"/>
      <c r="I236" s="8">
        <f>+INDEX('2025 Billing Determinants'!B:B,MATCH('2027 GSD Rate Class E-13c'!B236,'2025 Billing Determinants'!A:A,0))</f>
        <v>0</v>
      </c>
      <c r="J236" s="32" t="s">
        <v>729</v>
      </c>
      <c r="K236" s="47">
        <f>+INDEX('2026 Base Rates'!E:E,MATCH('2027 GSD Rate Class E-13c'!C236,'2026 Base Rates'!D:D,0))</f>
        <v>20.785255033525459</v>
      </c>
      <c r="L236" s="76"/>
      <c r="M236" s="32">
        <f>+I236*K236</f>
        <v>0</v>
      </c>
      <c r="N236" s="8"/>
      <c r="O236" s="57"/>
      <c r="P236" s="8">
        <f>+INDEX('2025 Billing Determinants'!B:B,MATCH('2027 GSD Rate Class E-13c'!B236,'2025 Billing Determinants'!A:A,0))</f>
        <v>0</v>
      </c>
      <c r="Q236" s="32" t="s">
        <v>729</v>
      </c>
      <c r="R236" s="47">
        <f t="shared" ref="R236:R244" si="81">+K236*(1+$C$7)</f>
        <v>21.622048984035398</v>
      </c>
      <c r="S236" s="8"/>
      <c r="T236" s="32">
        <f>+P236*R236</f>
        <v>0</v>
      </c>
      <c r="U236" s="8"/>
      <c r="V236" s="32">
        <f t="shared" ref="V236:V244" si="82">+T236-M236</f>
        <v>0</v>
      </c>
      <c r="W236" s="41">
        <f t="shared" ref="W236:W244" si="83">+IF(V236=0,0,(T236-M236)/M236)</f>
        <v>0</v>
      </c>
    </row>
    <row r="237" spans="1:23" x14ac:dyDescent="0.25">
      <c r="B237" t="s">
        <v>116</v>
      </c>
      <c r="C237" t="s">
        <v>585</v>
      </c>
      <c r="E237" s="57">
        <v>5</v>
      </c>
      <c r="F237" s="193" t="s">
        <v>745</v>
      </c>
      <c r="G237" s="8"/>
      <c r="H237" s="8"/>
      <c r="I237" s="8">
        <f>+INDEX('2025 Billing Determinants'!B:B,MATCH('2027 GSD Rate Class E-13c'!B237,'2025 Billing Determinants'!A:A,0))</f>
        <v>0</v>
      </c>
      <c r="J237" s="32" t="s">
        <v>729</v>
      </c>
      <c r="K237" s="47">
        <f>+INDEX('2026 Base Rates'!E:E,MATCH('2027 GSD Rate Class E-13c'!C237,'2026 Base Rates'!D:D,0))</f>
        <v>20.785255033525459</v>
      </c>
      <c r="L237" s="76"/>
      <c r="M237" s="32">
        <f t="shared" ref="M237:M244" si="84">+I237*K237</f>
        <v>0</v>
      </c>
      <c r="N237" s="8"/>
      <c r="O237" s="57"/>
      <c r="P237" s="8">
        <f>+INDEX('2025 Billing Determinants'!B:B,MATCH('2027 GSD Rate Class E-13c'!B237,'2025 Billing Determinants'!A:A,0))</f>
        <v>0</v>
      </c>
      <c r="Q237" s="32" t="s">
        <v>729</v>
      </c>
      <c r="R237" s="47">
        <f t="shared" si="81"/>
        <v>21.622048984035398</v>
      </c>
      <c r="S237" s="8"/>
      <c r="T237" s="32">
        <f t="shared" ref="T237:T244" si="85">+P237*R237</f>
        <v>0</v>
      </c>
      <c r="U237" s="8"/>
      <c r="V237" s="32">
        <f t="shared" si="82"/>
        <v>0</v>
      </c>
      <c r="W237" s="41">
        <f t="shared" si="83"/>
        <v>0</v>
      </c>
    </row>
    <row r="238" spans="1:23" x14ac:dyDescent="0.25">
      <c r="B238" t="s">
        <v>117</v>
      </c>
      <c r="C238" t="s">
        <v>587</v>
      </c>
      <c r="E238" s="57">
        <v>6</v>
      </c>
      <c r="F238" s="193" t="s">
        <v>768</v>
      </c>
      <c r="G238" s="8"/>
      <c r="H238" s="8"/>
      <c r="I238" s="8">
        <f>+INDEX('2025 Billing Determinants'!B:B,MATCH('2027 GSD Rate Class E-13c'!B238,'2025 Billing Determinants'!A:A,0))</f>
        <v>0</v>
      </c>
      <c r="J238" s="32" t="s">
        <v>729</v>
      </c>
      <c r="K238" s="47">
        <f>+INDEX('2026 Base Rates'!E:E,MATCH('2027 GSD Rate Class E-13c'!C238,'2026 Base Rates'!D:D,0))</f>
        <v>20.785255033525459</v>
      </c>
      <c r="L238" s="76"/>
      <c r="M238" s="32">
        <f t="shared" si="84"/>
        <v>0</v>
      </c>
      <c r="N238" s="8"/>
      <c r="O238" s="57"/>
      <c r="P238" s="8">
        <f>+INDEX('2025 Billing Determinants'!B:B,MATCH('2027 GSD Rate Class E-13c'!B238,'2025 Billing Determinants'!A:A,0))</f>
        <v>0</v>
      </c>
      <c r="Q238" s="32" t="s">
        <v>729</v>
      </c>
      <c r="R238" s="47">
        <f t="shared" si="81"/>
        <v>21.622048984035398</v>
      </c>
      <c r="S238" s="8"/>
      <c r="T238" s="32">
        <f t="shared" si="85"/>
        <v>0</v>
      </c>
      <c r="U238" s="8"/>
      <c r="V238" s="32">
        <f t="shared" si="82"/>
        <v>0</v>
      </c>
      <c r="W238" s="41">
        <f t="shared" si="83"/>
        <v>0</v>
      </c>
    </row>
    <row r="239" spans="1:23" x14ac:dyDescent="0.25">
      <c r="B239" t="s">
        <v>164</v>
      </c>
      <c r="C239" t="s">
        <v>588</v>
      </c>
      <c r="E239" s="57">
        <v>7</v>
      </c>
      <c r="F239" s="8" t="s">
        <v>781</v>
      </c>
      <c r="G239" s="35"/>
      <c r="H239" s="8"/>
      <c r="I239" s="8">
        <f>+INDEX('2025 Billing Determinants'!B:B,MATCH('2027 GSD Rate Class E-13c'!B239,'2025 Billing Determinants'!A:A,0))</f>
        <v>0</v>
      </c>
      <c r="J239" s="32" t="s">
        <v>729</v>
      </c>
      <c r="K239" s="47">
        <f>+INDEX('2026 Base Rates'!E:E,MATCH('2027 GSD Rate Class E-13c'!C239,'2026 Base Rates'!D:D,0))</f>
        <v>5.3392890337040271</v>
      </c>
      <c r="L239" s="76"/>
      <c r="M239" s="32">
        <f t="shared" si="84"/>
        <v>0</v>
      </c>
      <c r="N239" s="32"/>
      <c r="O239" s="42"/>
      <c r="P239" s="8">
        <f>+INDEX('2025 Billing Determinants'!B:B,MATCH('2027 GSD Rate Class E-13c'!B239,'2025 Billing Determinants'!A:A,0))</f>
        <v>0</v>
      </c>
      <c r="Q239" s="32" t="s">
        <v>729</v>
      </c>
      <c r="R239" s="47">
        <f t="shared" si="81"/>
        <v>5.554243565472877</v>
      </c>
      <c r="S239" s="32"/>
      <c r="T239" s="32">
        <f t="shared" si="85"/>
        <v>0</v>
      </c>
      <c r="U239" s="8"/>
      <c r="V239" s="32">
        <f t="shared" si="82"/>
        <v>0</v>
      </c>
      <c r="W239" s="41">
        <f t="shared" si="83"/>
        <v>0</v>
      </c>
    </row>
    <row r="240" spans="1:23" x14ac:dyDescent="0.25">
      <c r="B240" t="s">
        <v>165</v>
      </c>
      <c r="C240" t="s">
        <v>589</v>
      </c>
      <c r="E240" s="57">
        <v>8</v>
      </c>
      <c r="F240" s="8" t="s">
        <v>751</v>
      </c>
      <c r="G240" s="8"/>
      <c r="H240" s="8"/>
      <c r="I240" s="8">
        <f>+INDEX('2025 Billing Determinants'!B:B,MATCH('2027 GSD Rate Class E-13c'!B240,'2025 Billing Determinants'!A:A,0))</f>
        <v>0</v>
      </c>
      <c r="J240" s="32" t="s">
        <v>729</v>
      </c>
      <c r="K240" s="47">
        <f>+INDEX('2026 Base Rates'!E:E,MATCH('2027 GSD Rate Class E-13c'!C240,'2026 Base Rates'!D:D,0))</f>
        <v>5.3392890337040271</v>
      </c>
      <c r="L240" s="76"/>
      <c r="M240" s="32">
        <f t="shared" si="84"/>
        <v>0</v>
      </c>
      <c r="N240" s="32"/>
      <c r="O240" s="42"/>
      <c r="P240" s="8">
        <f>+INDEX('2025 Billing Determinants'!B:B,MATCH('2027 GSD Rate Class E-13c'!B240,'2025 Billing Determinants'!A:A,0))</f>
        <v>0</v>
      </c>
      <c r="Q240" s="32" t="s">
        <v>729</v>
      </c>
      <c r="R240" s="47">
        <f t="shared" si="81"/>
        <v>5.554243565472877</v>
      </c>
      <c r="S240" s="8"/>
      <c r="T240" s="32">
        <f t="shared" si="85"/>
        <v>0</v>
      </c>
      <c r="U240" s="32"/>
      <c r="V240" s="32">
        <f t="shared" si="82"/>
        <v>0</v>
      </c>
      <c r="W240" s="41">
        <f t="shared" si="83"/>
        <v>0</v>
      </c>
    </row>
    <row r="241" spans="2:23" x14ac:dyDescent="0.25">
      <c r="B241" t="s">
        <v>166</v>
      </c>
      <c r="C241" t="s">
        <v>590</v>
      </c>
      <c r="E241" s="57">
        <v>9</v>
      </c>
      <c r="F241" s="8" t="s">
        <v>782</v>
      </c>
      <c r="G241" s="8"/>
      <c r="H241" s="8"/>
      <c r="I241" s="8">
        <f>+INDEX('2025 Billing Determinants'!B:B,MATCH('2027 GSD Rate Class E-13c'!B241,'2025 Billing Determinants'!A:A,0))</f>
        <v>0</v>
      </c>
      <c r="J241" s="32" t="s">
        <v>729</v>
      </c>
      <c r="K241" s="47">
        <f>+INDEX('2026 Base Rates'!E:E,MATCH('2027 GSD Rate Class E-13c'!C241,'2026 Base Rates'!D:D,0))</f>
        <v>5.3392890337040271</v>
      </c>
      <c r="L241" s="76"/>
      <c r="M241" s="32">
        <f t="shared" si="84"/>
        <v>0</v>
      </c>
      <c r="N241" s="32"/>
      <c r="O241" s="42"/>
      <c r="P241" s="8">
        <f>+INDEX('2025 Billing Determinants'!B:B,MATCH('2027 GSD Rate Class E-13c'!B241,'2025 Billing Determinants'!A:A,0))</f>
        <v>0</v>
      </c>
      <c r="Q241" s="32" t="s">
        <v>729</v>
      </c>
      <c r="R241" s="47">
        <f t="shared" si="81"/>
        <v>5.554243565472877</v>
      </c>
      <c r="S241" s="8"/>
      <c r="T241" s="32">
        <f t="shared" si="85"/>
        <v>0</v>
      </c>
      <c r="U241" s="32"/>
      <c r="V241" s="32">
        <f t="shared" si="82"/>
        <v>0</v>
      </c>
      <c r="W241" s="41">
        <f t="shared" si="83"/>
        <v>0</v>
      </c>
    </row>
    <row r="242" spans="2:23" x14ac:dyDescent="0.25">
      <c r="B242" t="s">
        <v>168</v>
      </c>
      <c r="C242" t="s">
        <v>591</v>
      </c>
      <c r="E242" s="57">
        <v>10</v>
      </c>
      <c r="F242" s="8" t="s">
        <v>783</v>
      </c>
      <c r="G242" s="8"/>
      <c r="H242" s="8"/>
      <c r="I242" s="8">
        <f>+INDEX('2025 Billing Determinants'!B:B,MATCH('2027 GSD Rate Class E-13c'!B242,'2025 Billing Determinants'!A:A,0))</f>
        <v>0</v>
      </c>
      <c r="J242" s="32" t="s">
        <v>731</v>
      </c>
      <c r="K242" s="47">
        <f>+INDEX('2026 Base Rates'!E:E,MATCH('2027 GSD Rate Class E-13c'!C242,'2026 Base Rates'!D:D,0))</f>
        <v>15.445965999821432</v>
      </c>
      <c r="L242" s="76"/>
      <c r="M242" s="32">
        <f t="shared" si="84"/>
        <v>0</v>
      </c>
      <c r="N242" s="8"/>
      <c r="O242" s="57"/>
      <c r="P242" s="8">
        <f>+INDEX('2025 Billing Determinants'!B:B,MATCH('2027 GSD Rate Class E-13c'!B242,'2025 Billing Determinants'!A:A,0))</f>
        <v>0</v>
      </c>
      <c r="Q242" s="32" t="s">
        <v>731</v>
      </c>
      <c r="R242" s="47">
        <f t="shared" si="81"/>
        <v>16.067805418562521</v>
      </c>
      <c r="S242" s="8"/>
      <c r="T242" s="32">
        <f t="shared" si="85"/>
        <v>0</v>
      </c>
      <c r="U242" s="32"/>
      <c r="V242" s="32">
        <f t="shared" si="82"/>
        <v>0</v>
      </c>
      <c r="W242" s="41">
        <f t="shared" si="83"/>
        <v>0</v>
      </c>
    </row>
    <row r="243" spans="2:23" x14ac:dyDescent="0.25">
      <c r="B243" t="s">
        <v>169</v>
      </c>
      <c r="C243" t="s">
        <v>592</v>
      </c>
      <c r="E243" s="57">
        <v>11</v>
      </c>
      <c r="F243" s="8" t="s">
        <v>752</v>
      </c>
      <c r="G243" s="8"/>
      <c r="H243" s="8"/>
      <c r="I243" s="8">
        <f>+INDEX('2025 Billing Determinants'!B:B,MATCH('2027 GSD Rate Class E-13c'!B243,'2025 Billing Determinants'!A:A,0))</f>
        <v>0</v>
      </c>
      <c r="J243" s="32" t="s">
        <v>731</v>
      </c>
      <c r="K243" s="47">
        <f>+INDEX('2026 Base Rates'!E:E,MATCH('2027 GSD Rate Class E-13c'!C243,'2026 Base Rates'!D:D,0))</f>
        <v>15.445965999821432</v>
      </c>
      <c r="L243" s="76"/>
      <c r="M243" s="32">
        <f t="shared" si="84"/>
        <v>0</v>
      </c>
      <c r="N243" s="8"/>
      <c r="O243" s="57"/>
      <c r="P243" s="8">
        <f>+INDEX('2025 Billing Determinants'!B:B,MATCH('2027 GSD Rate Class E-13c'!B243,'2025 Billing Determinants'!A:A,0))</f>
        <v>0</v>
      </c>
      <c r="Q243" s="32" t="s">
        <v>731</v>
      </c>
      <c r="R243" s="47">
        <f t="shared" si="81"/>
        <v>16.067805418562521</v>
      </c>
      <c r="S243" s="8"/>
      <c r="T243" s="32">
        <f t="shared" si="85"/>
        <v>0</v>
      </c>
      <c r="U243" s="8"/>
      <c r="V243" s="32">
        <f t="shared" si="82"/>
        <v>0</v>
      </c>
      <c r="W243" s="41">
        <f t="shared" si="83"/>
        <v>0</v>
      </c>
    </row>
    <row r="244" spans="2:23" x14ac:dyDescent="0.25">
      <c r="B244" t="s">
        <v>170</v>
      </c>
      <c r="C244" t="s">
        <v>593</v>
      </c>
      <c r="E244" s="57">
        <v>12</v>
      </c>
      <c r="F244" s="8" t="s">
        <v>770</v>
      </c>
      <c r="G244" s="8"/>
      <c r="H244" s="8"/>
      <c r="I244" s="8">
        <f>+INDEX('2025 Billing Determinants'!B:B,MATCH('2027 GSD Rate Class E-13c'!B244,'2025 Billing Determinants'!A:A,0))</f>
        <v>0</v>
      </c>
      <c r="J244" s="32" t="s">
        <v>731</v>
      </c>
      <c r="K244" s="47">
        <f>+INDEX('2026 Base Rates'!E:E,MATCH('2027 GSD Rate Class E-13c'!C244,'2026 Base Rates'!D:D,0))</f>
        <v>15.445965999821432</v>
      </c>
      <c r="L244" s="76"/>
      <c r="M244" s="32">
        <f t="shared" si="84"/>
        <v>0</v>
      </c>
      <c r="N244" s="8"/>
      <c r="O244" s="57"/>
      <c r="P244" s="8">
        <f>+INDEX('2025 Billing Determinants'!B:B,MATCH('2027 GSD Rate Class E-13c'!B244,'2025 Billing Determinants'!A:A,0))</f>
        <v>0</v>
      </c>
      <c r="Q244" s="32" t="s">
        <v>731</v>
      </c>
      <c r="R244" s="47">
        <f t="shared" si="81"/>
        <v>16.067805418562521</v>
      </c>
      <c r="S244" s="8"/>
      <c r="T244" s="32">
        <f t="shared" si="85"/>
        <v>0</v>
      </c>
      <c r="U244" s="8"/>
      <c r="V244" s="32">
        <f t="shared" si="82"/>
        <v>0</v>
      </c>
      <c r="W244" s="41">
        <f t="shared" si="83"/>
        <v>0</v>
      </c>
    </row>
    <row r="245" spans="2:23" x14ac:dyDescent="0.25">
      <c r="E245" s="57">
        <v>13</v>
      </c>
      <c r="F245" s="71" t="s">
        <v>418</v>
      </c>
      <c r="G245" s="8"/>
      <c r="H245" s="8"/>
      <c r="I245" s="8"/>
      <c r="J245" s="8"/>
      <c r="K245" s="8"/>
      <c r="L245" s="8"/>
      <c r="M245" s="33"/>
      <c r="N245" s="8"/>
      <c r="O245" s="57"/>
      <c r="P245" s="8"/>
      <c r="Q245" s="8"/>
      <c r="R245" s="8"/>
      <c r="S245" s="8"/>
      <c r="T245" s="33"/>
      <c r="U245" s="8"/>
      <c r="V245" s="8"/>
      <c r="W245" s="8"/>
    </row>
    <row r="246" spans="2:23" x14ac:dyDescent="0.25">
      <c r="B246" t="s">
        <v>126</v>
      </c>
      <c r="C246" t="s">
        <v>632</v>
      </c>
      <c r="E246" s="57">
        <v>14</v>
      </c>
      <c r="F246" s="193" t="s">
        <v>784</v>
      </c>
      <c r="G246" s="8"/>
      <c r="H246" s="8"/>
      <c r="I246" s="8">
        <f>+INDEX('2025 Billing Determinants'!B:B,MATCH('2027 GSD Rate Class E-13c'!B246,'2025 Billing Determinants'!A:A,0))</f>
        <v>0</v>
      </c>
      <c r="J246" s="8" t="s">
        <v>729</v>
      </c>
      <c r="K246" s="47">
        <f>+INDEX('2026 Base Rates'!E:E,MATCH('2027 GSD Rate Class E-13c'!C246,'2026 Base Rates'!D:D,0))</f>
        <v>2.612491553878153</v>
      </c>
      <c r="L246" s="8"/>
      <c r="M246" s="32">
        <f>+I246*K246</f>
        <v>0</v>
      </c>
      <c r="N246" s="8"/>
      <c r="O246" s="57"/>
      <c r="P246" s="8">
        <f>+INDEX('2025 Billing Determinants'!B:B,MATCH('2027 GSD Rate Class E-13c'!B246,'2025 Billing Determinants'!A:A,0))</f>
        <v>0</v>
      </c>
      <c r="Q246" s="8" t="s">
        <v>729</v>
      </c>
      <c r="R246" s="47">
        <f t="shared" ref="R246:R263" si="86">+K246*(1+$C$7)</f>
        <v>2.7176678976140112</v>
      </c>
      <c r="S246" s="8"/>
      <c r="T246" s="32">
        <f>+P246*R246</f>
        <v>0</v>
      </c>
      <c r="U246" s="8"/>
      <c r="V246" s="32">
        <f t="shared" ref="V246:V264" si="87">+T246-M246</f>
        <v>0</v>
      </c>
      <c r="W246" s="41">
        <f t="shared" ref="W246:W264" si="88">+IF(V246=0,0,(T246-M246)/M246)</f>
        <v>0</v>
      </c>
    </row>
    <row r="247" spans="2:23" x14ac:dyDescent="0.25">
      <c r="B247" t="s">
        <v>127</v>
      </c>
      <c r="C247" t="s">
        <v>633</v>
      </c>
      <c r="E247" s="57">
        <v>15</v>
      </c>
      <c r="F247" s="193" t="s">
        <v>785</v>
      </c>
      <c r="G247" s="8"/>
      <c r="H247" s="8"/>
      <c r="I247" s="8">
        <f>+INDEX('2025 Billing Determinants'!B:B,MATCH('2027 GSD Rate Class E-13c'!B247,'2025 Billing Determinants'!A:A,0))</f>
        <v>0</v>
      </c>
      <c r="J247" s="8" t="s">
        <v>729</v>
      </c>
      <c r="K247" s="47">
        <f>+INDEX('2026 Base Rates'!E:E,MATCH('2027 GSD Rate Class E-13c'!C247,'2026 Base Rates'!D:D,0))</f>
        <v>2.612491553878153</v>
      </c>
      <c r="L247" s="8"/>
      <c r="M247" s="32">
        <f t="shared" ref="M247:M263" si="89">+I247*K247</f>
        <v>0</v>
      </c>
      <c r="N247" s="8"/>
      <c r="O247" s="57"/>
      <c r="P247" s="8">
        <f>+INDEX('2025 Billing Determinants'!B:B,MATCH('2027 GSD Rate Class E-13c'!B247,'2025 Billing Determinants'!A:A,0))</f>
        <v>0</v>
      </c>
      <c r="Q247" s="8" t="s">
        <v>729</v>
      </c>
      <c r="R247" s="47">
        <f t="shared" si="86"/>
        <v>2.7176678976140112</v>
      </c>
      <c r="S247" s="8"/>
      <c r="T247" s="32">
        <f t="shared" ref="T247:T263" si="90">+P247*R247</f>
        <v>0</v>
      </c>
      <c r="U247" s="8"/>
      <c r="V247" s="32">
        <f t="shared" si="87"/>
        <v>0</v>
      </c>
      <c r="W247" s="41">
        <f t="shared" si="88"/>
        <v>0</v>
      </c>
    </row>
    <row r="248" spans="2:23" x14ac:dyDescent="0.25">
      <c r="B248" t="s">
        <v>128</v>
      </c>
      <c r="C248" t="s">
        <v>634</v>
      </c>
      <c r="E248" s="57">
        <v>16</v>
      </c>
      <c r="F248" s="193" t="s">
        <v>786</v>
      </c>
      <c r="G248" s="8"/>
      <c r="H248" s="8"/>
      <c r="I248" s="8">
        <f>+INDEX('2025 Billing Determinants'!B:B,MATCH('2027 GSD Rate Class E-13c'!B248,'2025 Billing Determinants'!A:A,0))</f>
        <v>0</v>
      </c>
      <c r="J248" s="8" t="s">
        <v>729</v>
      </c>
      <c r="K248" s="47">
        <f>+INDEX('2026 Base Rates'!E:E,MATCH('2027 GSD Rate Class E-13c'!C248,'2026 Base Rates'!D:D,0))</f>
        <v>2.612491553878153</v>
      </c>
      <c r="L248" s="8"/>
      <c r="M248" s="32">
        <f t="shared" si="89"/>
        <v>0</v>
      </c>
      <c r="N248" s="8"/>
      <c r="O248" s="57"/>
      <c r="P248" s="8">
        <f>+INDEX('2025 Billing Determinants'!B:B,MATCH('2027 GSD Rate Class E-13c'!B248,'2025 Billing Determinants'!A:A,0))</f>
        <v>0</v>
      </c>
      <c r="Q248" s="8" t="s">
        <v>729</v>
      </c>
      <c r="R248" s="47">
        <f t="shared" si="86"/>
        <v>2.7176678976140112</v>
      </c>
      <c r="S248" s="8"/>
      <c r="T248" s="32">
        <f t="shared" si="90"/>
        <v>0</v>
      </c>
      <c r="U248" s="8"/>
      <c r="V248" s="32">
        <f t="shared" si="87"/>
        <v>0</v>
      </c>
      <c r="W248" s="41">
        <f t="shared" si="88"/>
        <v>0</v>
      </c>
    </row>
    <row r="249" spans="2:23" x14ac:dyDescent="0.25">
      <c r="B249" t="s">
        <v>130</v>
      </c>
      <c r="C249" t="s">
        <v>635</v>
      </c>
      <c r="E249" s="57">
        <v>17</v>
      </c>
      <c r="F249" s="193" t="s">
        <v>787</v>
      </c>
      <c r="G249" s="35"/>
      <c r="H249" s="8"/>
      <c r="I249" s="8">
        <f>+INDEX('2025 Billing Determinants'!B:B,MATCH('2027 GSD Rate Class E-13c'!B249,'2025 Billing Determinants'!A:A,0))</f>
        <v>0</v>
      </c>
      <c r="J249" s="8" t="s">
        <v>755</v>
      </c>
      <c r="K249" s="47">
        <f>+INDEX('2026 Base Rates'!E:E,MATCH('2027 GSD Rate Class E-13c'!C249,'2026 Base Rates'!D:D,0))</f>
        <v>2.4979998921544095</v>
      </c>
      <c r="L249" s="8" t="s">
        <v>761</v>
      </c>
      <c r="M249" s="32">
        <f t="shared" si="89"/>
        <v>0</v>
      </c>
      <c r="N249" s="8"/>
      <c r="O249" s="57"/>
      <c r="P249" s="8">
        <f>+INDEX('2025 Billing Determinants'!B:B,MATCH('2027 GSD Rate Class E-13c'!B249,'2025 Billing Determinants'!A:A,0))</f>
        <v>0</v>
      </c>
      <c r="Q249" s="8" t="s">
        <v>755</v>
      </c>
      <c r="R249" s="47">
        <f t="shared" si="86"/>
        <v>2.5985669140532379</v>
      </c>
      <c r="S249" s="8" t="s">
        <v>761</v>
      </c>
      <c r="T249" s="32">
        <f t="shared" si="90"/>
        <v>0</v>
      </c>
      <c r="U249" s="8"/>
      <c r="V249" s="32">
        <f t="shared" si="87"/>
        <v>0</v>
      </c>
      <c r="W249" s="41">
        <f t="shared" si="88"/>
        <v>0</v>
      </c>
    </row>
    <row r="250" spans="2:23" x14ac:dyDescent="0.25">
      <c r="B250" t="s">
        <v>131</v>
      </c>
      <c r="C250" t="s">
        <v>636</v>
      </c>
      <c r="E250" s="57">
        <v>18</v>
      </c>
      <c r="F250" s="193" t="s">
        <v>788</v>
      </c>
      <c r="G250" s="35"/>
      <c r="H250" s="8"/>
      <c r="I250" s="8">
        <f>+INDEX('2025 Billing Determinants'!B:B,MATCH('2027 GSD Rate Class E-13c'!B250,'2025 Billing Determinants'!A:A,0))</f>
        <v>0</v>
      </c>
      <c r="J250" s="8" t="s">
        <v>755</v>
      </c>
      <c r="K250" s="47">
        <f>+INDEX('2026 Base Rates'!E:E,MATCH('2027 GSD Rate Class E-13c'!C250,'2026 Base Rates'!D:D,0))</f>
        <v>2.4979998921544095</v>
      </c>
      <c r="L250" s="8" t="s">
        <v>761</v>
      </c>
      <c r="M250" s="32">
        <f t="shared" si="89"/>
        <v>0</v>
      </c>
      <c r="N250" s="8"/>
      <c r="O250" s="57"/>
      <c r="P250" s="8">
        <f>+INDEX('2025 Billing Determinants'!B:B,MATCH('2027 GSD Rate Class E-13c'!B250,'2025 Billing Determinants'!A:A,0))</f>
        <v>0</v>
      </c>
      <c r="Q250" s="8" t="s">
        <v>755</v>
      </c>
      <c r="R250" s="47">
        <f t="shared" si="86"/>
        <v>2.5985669140532379</v>
      </c>
      <c r="S250" s="8" t="s">
        <v>761</v>
      </c>
      <c r="T250" s="32">
        <f t="shared" si="90"/>
        <v>0</v>
      </c>
      <c r="U250" s="8"/>
      <c r="V250" s="32">
        <f t="shared" si="87"/>
        <v>0</v>
      </c>
      <c r="W250" s="41">
        <f t="shared" si="88"/>
        <v>0</v>
      </c>
    </row>
    <row r="251" spans="2:23" x14ac:dyDescent="0.25">
      <c r="B251" t="s">
        <v>132</v>
      </c>
      <c r="C251" t="s">
        <v>637</v>
      </c>
      <c r="E251" s="57">
        <v>19</v>
      </c>
      <c r="F251" s="193" t="s">
        <v>789</v>
      </c>
      <c r="G251" s="8"/>
      <c r="H251" s="8"/>
      <c r="I251" s="8">
        <f>+INDEX('2025 Billing Determinants'!B:B,MATCH('2027 GSD Rate Class E-13c'!B251,'2025 Billing Determinants'!A:A,0))</f>
        <v>0</v>
      </c>
      <c r="J251" s="8" t="s">
        <v>755</v>
      </c>
      <c r="K251" s="47">
        <f>+INDEX('2026 Base Rates'!E:E,MATCH('2027 GSD Rate Class E-13c'!C251,'2026 Base Rates'!D:D,0))</f>
        <v>2.4979998921544095</v>
      </c>
      <c r="L251" s="8" t="s">
        <v>761</v>
      </c>
      <c r="M251" s="32">
        <f t="shared" si="89"/>
        <v>0</v>
      </c>
      <c r="N251" s="8"/>
      <c r="O251" s="57"/>
      <c r="P251" s="8">
        <f>+INDEX('2025 Billing Determinants'!B:B,MATCH('2027 GSD Rate Class E-13c'!B251,'2025 Billing Determinants'!A:A,0))</f>
        <v>0</v>
      </c>
      <c r="Q251" s="8" t="s">
        <v>755</v>
      </c>
      <c r="R251" s="47">
        <f t="shared" si="86"/>
        <v>2.5985669140532379</v>
      </c>
      <c r="S251" s="8" t="s">
        <v>761</v>
      </c>
      <c r="T251" s="32">
        <f t="shared" si="90"/>
        <v>0</v>
      </c>
      <c r="U251" s="8"/>
      <c r="V251" s="32">
        <f t="shared" si="87"/>
        <v>0</v>
      </c>
      <c r="W251" s="41">
        <f t="shared" si="88"/>
        <v>0</v>
      </c>
    </row>
    <row r="252" spans="2:23" x14ac:dyDescent="0.25">
      <c r="B252" t="s">
        <v>134</v>
      </c>
      <c r="C252" t="s">
        <v>638</v>
      </c>
      <c r="E252" s="57">
        <v>20</v>
      </c>
      <c r="F252" s="193" t="s">
        <v>790</v>
      </c>
      <c r="G252" s="8"/>
      <c r="H252" s="8"/>
      <c r="I252" s="8">
        <f>+INDEX('2025 Billing Determinants'!B:B,MATCH('2027 GSD Rate Class E-13c'!B252,'2025 Billing Determinants'!A:A,0))</f>
        <v>0</v>
      </c>
      <c r="J252" s="8" t="s">
        <v>755</v>
      </c>
      <c r="K252" s="47">
        <f>+INDEX('2026 Base Rates'!E:E,MATCH('2027 GSD Rate Class E-13c'!C252,'2026 Base Rates'!D:D,0))</f>
        <v>0.98879162397778708</v>
      </c>
      <c r="L252" s="8" t="s">
        <v>763</v>
      </c>
      <c r="M252" s="32">
        <f t="shared" si="89"/>
        <v>0</v>
      </c>
      <c r="N252" s="8"/>
      <c r="O252" s="57"/>
      <c r="P252" s="8">
        <f>+INDEX('2025 Billing Determinants'!B:B,MATCH('2027 GSD Rate Class E-13c'!B252,'2025 Billing Determinants'!A:A,0))</f>
        <v>0</v>
      </c>
      <c r="Q252" s="8" t="s">
        <v>755</v>
      </c>
      <c r="R252" s="47">
        <f t="shared" si="86"/>
        <v>1.0285994034794066</v>
      </c>
      <c r="S252" s="8" t="s">
        <v>763</v>
      </c>
      <c r="T252" s="32">
        <f t="shared" si="90"/>
        <v>0</v>
      </c>
      <c r="U252" s="8"/>
      <c r="V252" s="32">
        <f t="shared" si="87"/>
        <v>0</v>
      </c>
      <c r="W252" s="41">
        <f t="shared" si="88"/>
        <v>0</v>
      </c>
    </row>
    <row r="253" spans="2:23" x14ac:dyDescent="0.25">
      <c r="B253" t="s">
        <v>135</v>
      </c>
      <c r="C253" t="s">
        <v>639</v>
      </c>
      <c r="E253" s="57">
        <v>21</v>
      </c>
      <c r="F253" s="193" t="s">
        <v>791</v>
      </c>
      <c r="G253" s="8"/>
      <c r="H253" s="8"/>
      <c r="I253" s="8">
        <f>+INDEX('2025 Billing Determinants'!B:B,MATCH('2027 GSD Rate Class E-13c'!B253,'2025 Billing Determinants'!A:A,0))</f>
        <v>0</v>
      </c>
      <c r="J253" s="8" t="s">
        <v>755</v>
      </c>
      <c r="K253" s="47">
        <f>+INDEX('2026 Base Rates'!E:E,MATCH('2027 GSD Rate Class E-13c'!C253,'2026 Base Rates'!D:D,0))</f>
        <v>0.98879162397778708</v>
      </c>
      <c r="L253" s="8" t="s">
        <v>763</v>
      </c>
      <c r="M253" s="32">
        <f t="shared" si="89"/>
        <v>0</v>
      </c>
      <c r="N253" s="8"/>
      <c r="O253" s="57"/>
      <c r="P253" s="8">
        <f>+INDEX('2025 Billing Determinants'!B:B,MATCH('2027 GSD Rate Class E-13c'!B253,'2025 Billing Determinants'!A:A,0))</f>
        <v>0</v>
      </c>
      <c r="Q253" s="8" t="s">
        <v>755</v>
      </c>
      <c r="R253" s="47">
        <f t="shared" si="86"/>
        <v>1.0285994034794066</v>
      </c>
      <c r="S253" s="8" t="s">
        <v>763</v>
      </c>
      <c r="T253" s="32">
        <f t="shared" si="90"/>
        <v>0</v>
      </c>
      <c r="U253" s="8"/>
      <c r="V253" s="32">
        <f t="shared" si="87"/>
        <v>0</v>
      </c>
      <c r="W253" s="41">
        <f t="shared" si="88"/>
        <v>0</v>
      </c>
    </row>
    <row r="254" spans="2:23" x14ac:dyDescent="0.25">
      <c r="B254" t="s">
        <v>136</v>
      </c>
      <c r="C254" t="s">
        <v>640</v>
      </c>
      <c r="E254" s="57">
        <v>22</v>
      </c>
      <c r="F254" s="193" t="s">
        <v>792</v>
      </c>
      <c r="G254" s="35"/>
      <c r="H254" s="8"/>
      <c r="I254" s="8">
        <f>+INDEX('2025 Billing Determinants'!B:B,MATCH('2027 GSD Rate Class E-13c'!B254,'2025 Billing Determinants'!A:A,0))</f>
        <v>0</v>
      </c>
      <c r="J254" s="8" t="s">
        <v>755</v>
      </c>
      <c r="K254" s="47">
        <f>+INDEX('2026 Base Rates'!E:E,MATCH('2027 GSD Rate Class E-13c'!C254,'2026 Base Rates'!D:D,0))</f>
        <v>0.98879162397778708</v>
      </c>
      <c r="L254" s="8" t="s">
        <v>763</v>
      </c>
      <c r="M254" s="32">
        <f t="shared" si="89"/>
        <v>0</v>
      </c>
      <c r="N254" s="8"/>
      <c r="O254" s="57"/>
      <c r="P254" s="8">
        <f>+INDEX('2025 Billing Determinants'!B:B,MATCH('2027 GSD Rate Class E-13c'!B254,'2025 Billing Determinants'!A:A,0))</f>
        <v>0</v>
      </c>
      <c r="Q254" s="8" t="s">
        <v>755</v>
      </c>
      <c r="R254" s="47">
        <f t="shared" si="86"/>
        <v>1.0285994034794066</v>
      </c>
      <c r="S254" s="8" t="s">
        <v>763</v>
      </c>
      <c r="T254" s="32">
        <f t="shared" si="90"/>
        <v>0</v>
      </c>
      <c r="U254" s="8"/>
      <c r="V254" s="32">
        <f t="shared" si="87"/>
        <v>0</v>
      </c>
      <c r="W254" s="41">
        <f t="shared" si="88"/>
        <v>0</v>
      </c>
    </row>
    <row r="255" spans="2:23" x14ac:dyDescent="0.25">
      <c r="B255" t="s">
        <v>187</v>
      </c>
      <c r="C255" t="s">
        <v>649</v>
      </c>
      <c r="E255" s="57">
        <v>23</v>
      </c>
      <c r="F255" s="193" t="s">
        <v>793</v>
      </c>
      <c r="G255" s="8"/>
      <c r="H255" s="8"/>
      <c r="I255" s="8">
        <f>+INDEX('2025 Billing Determinants'!B:B,MATCH('2027 GSD Rate Class E-13c'!B255,'2025 Billing Determinants'!A:A,0))</f>
        <v>0</v>
      </c>
      <c r="J255" s="32" t="s">
        <v>729</v>
      </c>
      <c r="K255" s="47">
        <f>+INDEX('2026 Base Rates'!E:E,MATCH('2027 GSD Rate Class E-13c'!C255,'2026 Base Rates'!D:D,0))</f>
        <v>2.612491553878153</v>
      </c>
      <c r="L255" s="76"/>
      <c r="M255" s="32">
        <f t="shared" si="89"/>
        <v>0</v>
      </c>
      <c r="N255" s="8"/>
      <c r="O255" s="57"/>
      <c r="P255" s="8">
        <f>+INDEX('2025 Billing Determinants'!B:B,MATCH('2027 GSD Rate Class E-13c'!B255,'2025 Billing Determinants'!A:A,0))</f>
        <v>0</v>
      </c>
      <c r="Q255" s="32" t="s">
        <v>729</v>
      </c>
      <c r="R255" s="47">
        <f t="shared" si="86"/>
        <v>2.7176678976140112</v>
      </c>
      <c r="S255" s="76"/>
      <c r="T255" s="32">
        <f t="shared" si="90"/>
        <v>0</v>
      </c>
      <c r="U255" s="8"/>
      <c r="V255" s="32">
        <f t="shared" si="87"/>
        <v>0</v>
      </c>
      <c r="W255" s="41">
        <f t="shared" si="88"/>
        <v>0</v>
      </c>
    </row>
    <row r="256" spans="2:23" x14ac:dyDescent="0.25">
      <c r="B256" t="s">
        <v>188</v>
      </c>
      <c r="C256" t="s">
        <v>641</v>
      </c>
      <c r="E256" s="57">
        <v>24</v>
      </c>
      <c r="F256" s="193" t="s">
        <v>759</v>
      </c>
      <c r="G256" s="8"/>
      <c r="H256" s="8"/>
      <c r="I256" s="8">
        <f>+INDEX('2025 Billing Determinants'!B:B,MATCH('2027 GSD Rate Class E-13c'!B256,'2025 Billing Determinants'!A:A,0))</f>
        <v>0</v>
      </c>
      <c r="J256" s="32" t="s">
        <v>729</v>
      </c>
      <c r="K256" s="47">
        <f>+INDEX('2026 Base Rates'!E:E,MATCH('2027 GSD Rate Class E-13c'!C256,'2026 Base Rates'!D:D,0))</f>
        <v>2.612491553878153</v>
      </c>
      <c r="L256" s="76"/>
      <c r="M256" s="32">
        <f t="shared" si="89"/>
        <v>0</v>
      </c>
      <c r="N256" s="8"/>
      <c r="O256" s="57"/>
      <c r="P256" s="8">
        <f>+INDEX('2025 Billing Determinants'!B:B,MATCH('2027 GSD Rate Class E-13c'!B256,'2025 Billing Determinants'!A:A,0))</f>
        <v>0</v>
      </c>
      <c r="Q256" s="32" t="s">
        <v>729</v>
      </c>
      <c r="R256" s="47">
        <f t="shared" si="86"/>
        <v>2.7176678976140112</v>
      </c>
      <c r="S256" s="76"/>
      <c r="T256" s="32">
        <f t="shared" si="90"/>
        <v>0</v>
      </c>
      <c r="U256" s="32"/>
      <c r="V256" s="32">
        <f t="shared" si="87"/>
        <v>0</v>
      </c>
      <c r="W256" s="41">
        <f t="shared" si="88"/>
        <v>0</v>
      </c>
    </row>
    <row r="257" spans="2:23" x14ac:dyDescent="0.25">
      <c r="B257" t="s">
        <v>189</v>
      </c>
      <c r="C257" t="s">
        <v>642</v>
      </c>
      <c r="E257" s="57">
        <v>25</v>
      </c>
      <c r="F257" s="193" t="s">
        <v>794</v>
      </c>
      <c r="G257" s="8"/>
      <c r="H257" s="8"/>
      <c r="I257" s="8">
        <f>+INDEX('2025 Billing Determinants'!B:B,MATCH('2027 GSD Rate Class E-13c'!B257,'2025 Billing Determinants'!A:A,0))</f>
        <v>0</v>
      </c>
      <c r="J257" s="32" t="s">
        <v>729</v>
      </c>
      <c r="K257" s="47">
        <f>+INDEX('2026 Base Rates'!E:E,MATCH('2027 GSD Rate Class E-13c'!C257,'2026 Base Rates'!D:D,0))</f>
        <v>2.612491553878153</v>
      </c>
      <c r="L257" s="76"/>
      <c r="M257" s="32">
        <f t="shared" si="89"/>
        <v>0</v>
      </c>
      <c r="N257" s="8"/>
      <c r="O257" s="57"/>
      <c r="P257" s="8">
        <f>+INDEX('2025 Billing Determinants'!B:B,MATCH('2027 GSD Rate Class E-13c'!B257,'2025 Billing Determinants'!A:A,0))</f>
        <v>0</v>
      </c>
      <c r="Q257" s="32" t="s">
        <v>729</v>
      </c>
      <c r="R257" s="47">
        <f t="shared" si="86"/>
        <v>2.7176678976140112</v>
      </c>
      <c r="S257" s="76"/>
      <c r="T257" s="32">
        <f t="shared" si="90"/>
        <v>0</v>
      </c>
      <c r="U257" s="32"/>
      <c r="V257" s="32">
        <f t="shared" si="87"/>
        <v>0</v>
      </c>
      <c r="W257" s="41">
        <f t="shared" si="88"/>
        <v>0</v>
      </c>
    </row>
    <row r="258" spans="2:23" x14ac:dyDescent="0.25">
      <c r="B258" t="s">
        <v>191</v>
      </c>
      <c r="C258" t="s">
        <v>643</v>
      </c>
      <c r="E258" s="57">
        <v>26</v>
      </c>
      <c r="F258" s="193" t="s">
        <v>795</v>
      </c>
      <c r="G258" s="35"/>
      <c r="H258" s="8"/>
      <c r="I258" s="8">
        <f>+INDEX('2025 Billing Determinants'!B:B,MATCH('2027 GSD Rate Class E-13c'!B258,'2025 Billing Determinants'!A:A,0))</f>
        <v>0</v>
      </c>
      <c r="J258" s="32" t="s">
        <v>755</v>
      </c>
      <c r="K258" s="47">
        <f>+INDEX('2026 Base Rates'!E:E,MATCH('2027 GSD Rate Class E-13c'!C258,'2026 Base Rates'!D:D,0))</f>
        <v>2.4979998921544095</v>
      </c>
      <c r="L258" s="76" t="s">
        <v>756</v>
      </c>
      <c r="M258" s="32">
        <f t="shared" si="89"/>
        <v>0</v>
      </c>
      <c r="N258" s="32"/>
      <c r="O258" s="42"/>
      <c r="P258" s="8">
        <f>+INDEX('2025 Billing Determinants'!B:B,MATCH('2027 GSD Rate Class E-13c'!B258,'2025 Billing Determinants'!A:A,0))</f>
        <v>0</v>
      </c>
      <c r="Q258" s="32" t="s">
        <v>755</v>
      </c>
      <c r="R258" s="47">
        <f t="shared" si="86"/>
        <v>2.5985669140532379</v>
      </c>
      <c r="S258" s="76" t="s">
        <v>761</v>
      </c>
      <c r="T258" s="32">
        <f t="shared" si="90"/>
        <v>0</v>
      </c>
      <c r="U258" s="32"/>
      <c r="V258" s="32">
        <f t="shared" si="87"/>
        <v>0</v>
      </c>
      <c r="W258" s="41">
        <f t="shared" si="88"/>
        <v>0</v>
      </c>
    </row>
    <row r="259" spans="2:23" x14ac:dyDescent="0.25">
      <c r="B259" t="s">
        <v>192</v>
      </c>
      <c r="C259" t="s">
        <v>644</v>
      </c>
      <c r="E259" s="57">
        <v>27</v>
      </c>
      <c r="F259" s="193" t="s">
        <v>760</v>
      </c>
      <c r="G259" s="35"/>
      <c r="H259" s="8"/>
      <c r="I259" s="8">
        <f>+INDEX('2025 Billing Determinants'!B:B,MATCH('2027 GSD Rate Class E-13c'!B259,'2025 Billing Determinants'!A:A,0))</f>
        <v>0</v>
      </c>
      <c r="J259" s="32" t="s">
        <v>755</v>
      </c>
      <c r="K259" s="47">
        <f>+INDEX('2026 Base Rates'!E:E,MATCH('2027 GSD Rate Class E-13c'!C259,'2026 Base Rates'!D:D,0))</f>
        <v>2.4979998921544095</v>
      </c>
      <c r="L259" s="76" t="s">
        <v>756</v>
      </c>
      <c r="M259" s="32">
        <f t="shared" si="89"/>
        <v>0</v>
      </c>
      <c r="N259" s="32"/>
      <c r="O259" s="42"/>
      <c r="P259" s="8">
        <f>+INDEX('2025 Billing Determinants'!B:B,MATCH('2027 GSD Rate Class E-13c'!B259,'2025 Billing Determinants'!A:A,0))</f>
        <v>0</v>
      </c>
      <c r="Q259" s="32" t="s">
        <v>755</v>
      </c>
      <c r="R259" s="47">
        <f t="shared" si="86"/>
        <v>2.5985669140532379</v>
      </c>
      <c r="S259" s="76" t="s">
        <v>761</v>
      </c>
      <c r="T259" s="32">
        <f t="shared" si="90"/>
        <v>0</v>
      </c>
      <c r="U259" s="32"/>
      <c r="V259" s="32">
        <f t="shared" si="87"/>
        <v>0</v>
      </c>
      <c r="W259" s="41">
        <f t="shared" si="88"/>
        <v>0</v>
      </c>
    </row>
    <row r="260" spans="2:23" x14ac:dyDescent="0.25">
      <c r="B260" t="s">
        <v>193</v>
      </c>
      <c r="C260" t="s">
        <v>645</v>
      </c>
      <c r="E260" s="57">
        <v>28</v>
      </c>
      <c r="F260" s="193" t="s">
        <v>796</v>
      </c>
      <c r="G260" s="8"/>
      <c r="H260" s="8"/>
      <c r="I260" s="8">
        <f>+INDEX('2025 Billing Determinants'!B:B,MATCH('2027 GSD Rate Class E-13c'!B260,'2025 Billing Determinants'!A:A,0))</f>
        <v>0</v>
      </c>
      <c r="J260" s="32" t="s">
        <v>755</v>
      </c>
      <c r="K260" s="47">
        <f>+INDEX('2026 Base Rates'!E:E,MATCH('2027 GSD Rate Class E-13c'!C260,'2026 Base Rates'!D:D,0))</f>
        <v>2.4979998921544095</v>
      </c>
      <c r="L260" s="76" t="s">
        <v>756</v>
      </c>
      <c r="M260" s="32">
        <f t="shared" si="89"/>
        <v>0</v>
      </c>
      <c r="N260" s="8"/>
      <c r="O260" s="57"/>
      <c r="P260" s="8">
        <f>+INDEX('2025 Billing Determinants'!B:B,MATCH('2027 GSD Rate Class E-13c'!B260,'2025 Billing Determinants'!A:A,0))</f>
        <v>0</v>
      </c>
      <c r="Q260" s="32" t="s">
        <v>755</v>
      </c>
      <c r="R260" s="47">
        <f t="shared" si="86"/>
        <v>2.5985669140532379</v>
      </c>
      <c r="S260" s="76" t="s">
        <v>761</v>
      </c>
      <c r="T260" s="32">
        <f t="shared" si="90"/>
        <v>0</v>
      </c>
      <c r="U260" s="8"/>
      <c r="V260" s="32">
        <f t="shared" si="87"/>
        <v>0</v>
      </c>
      <c r="W260" s="41">
        <f t="shared" si="88"/>
        <v>0</v>
      </c>
    </row>
    <row r="261" spans="2:23" x14ac:dyDescent="0.25">
      <c r="B261" t="s">
        <v>195</v>
      </c>
      <c r="C261" t="s">
        <v>646</v>
      </c>
      <c r="E261" s="57">
        <v>29</v>
      </c>
      <c r="F261" s="193" t="s">
        <v>797</v>
      </c>
      <c r="G261" s="8"/>
      <c r="H261" s="8"/>
      <c r="I261" s="8">
        <f>+INDEX('2025 Billing Determinants'!B:B,MATCH('2027 GSD Rate Class E-13c'!B261,'2025 Billing Determinants'!A:A,0))</f>
        <v>0</v>
      </c>
      <c r="J261" s="32" t="s">
        <v>755</v>
      </c>
      <c r="K261" s="47">
        <f>+INDEX('2026 Base Rates'!E:E,MATCH('2027 GSD Rate Class E-13c'!C261,'2026 Base Rates'!D:D,0))</f>
        <v>0.98879162397778708</v>
      </c>
      <c r="L261" s="76" t="s">
        <v>758</v>
      </c>
      <c r="M261" s="32">
        <f t="shared" si="89"/>
        <v>0</v>
      </c>
      <c r="N261" s="8"/>
      <c r="O261" s="57"/>
      <c r="P261" s="8">
        <f>+INDEX('2025 Billing Determinants'!B:B,MATCH('2027 GSD Rate Class E-13c'!B261,'2025 Billing Determinants'!A:A,0))</f>
        <v>0</v>
      </c>
      <c r="Q261" s="32" t="s">
        <v>755</v>
      </c>
      <c r="R261" s="47">
        <f t="shared" si="86"/>
        <v>1.0285994034794066</v>
      </c>
      <c r="S261" s="76" t="s">
        <v>763</v>
      </c>
      <c r="T261" s="32">
        <f t="shared" si="90"/>
        <v>0</v>
      </c>
      <c r="U261" s="8"/>
      <c r="V261" s="32">
        <f t="shared" si="87"/>
        <v>0</v>
      </c>
      <c r="W261" s="41">
        <f t="shared" si="88"/>
        <v>0</v>
      </c>
    </row>
    <row r="262" spans="2:23" x14ac:dyDescent="0.25">
      <c r="B262" t="s">
        <v>196</v>
      </c>
      <c r="C262" t="s">
        <v>647</v>
      </c>
      <c r="E262" s="57">
        <v>30</v>
      </c>
      <c r="F262" s="193" t="s">
        <v>762</v>
      </c>
      <c r="G262" s="8"/>
      <c r="H262" s="8"/>
      <c r="I262" s="8">
        <f>+INDEX('2025 Billing Determinants'!B:B,MATCH('2027 GSD Rate Class E-13c'!B262,'2025 Billing Determinants'!A:A,0))</f>
        <v>0</v>
      </c>
      <c r="J262" s="32" t="s">
        <v>755</v>
      </c>
      <c r="K262" s="47">
        <f>+INDEX('2026 Base Rates'!E:E,MATCH('2027 GSD Rate Class E-13c'!C262,'2026 Base Rates'!D:D,0))</f>
        <v>0.98879162397778708</v>
      </c>
      <c r="L262" s="76" t="s">
        <v>758</v>
      </c>
      <c r="M262" s="32">
        <f t="shared" si="89"/>
        <v>0</v>
      </c>
      <c r="N262" s="8"/>
      <c r="O262" s="57"/>
      <c r="P262" s="8">
        <f>+INDEX('2025 Billing Determinants'!B:B,MATCH('2027 GSD Rate Class E-13c'!B262,'2025 Billing Determinants'!A:A,0))</f>
        <v>0</v>
      </c>
      <c r="Q262" s="32" t="s">
        <v>755</v>
      </c>
      <c r="R262" s="47">
        <f t="shared" si="86"/>
        <v>1.0285994034794066</v>
      </c>
      <c r="S262" s="76" t="s">
        <v>763</v>
      </c>
      <c r="T262" s="32">
        <f t="shared" si="90"/>
        <v>0</v>
      </c>
      <c r="U262" s="8"/>
      <c r="V262" s="32">
        <f t="shared" si="87"/>
        <v>0</v>
      </c>
      <c r="W262" s="41">
        <f t="shared" si="88"/>
        <v>0</v>
      </c>
    </row>
    <row r="263" spans="2:23" x14ac:dyDescent="0.25">
      <c r="B263" t="s">
        <v>197</v>
      </c>
      <c r="C263" t="s">
        <v>648</v>
      </c>
      <c r="E263" s="57">
        <v>31</v>
      </c>
      <c r="F263" s="193" t="s">
        <v>798</v>
      </c>
      <c r="G263" s="35"/>
      <c r="H263" s="8"/>
      <c r="I263" s="206">
        <f>+INDEX('2025 Billing Determinants'!B:B,MATCH('2027 GSD Rate Class E-13c'!B263,'2025 Billing Determinants'!A:A,0))</f>
        <v>0</v>
      </c>
      <c r="J263" s="32" t="s">
        <v>755</v>
      </c>
      <c r="K263" s="47">
        <f>+INDEX('2026 Base Rates'!E:E,MATCH('2027 GSD Rate Class E-13c'!C263,'2026 Base Rates'!D:D,0))</f>
        <v>0.98879162397778708</v>
      </c>
      <c r="L263" s="76" t="s">
        <v>758</v>
      </c>
      <c r="M263" s="32">
        <f t="shared" si="89"/>
        <v>0</v>
      </c>
      <c r="N263" s="32"/>
      <c r="O263" s="42"/>
      <c r="P263" s="206">
        <f>+INDEX('2025 Billing Determinants'!B:B,MATCH('2027 GSD Rate Class E-13c'!B263,'2025 Billing Determinants'!A:A,0))</f>
        <v>0</v>
      </c>
      <c r="Q263" s="32" t="s">
        <v>755</v>
      </c>
      <c r="R263" s="47">
        <f t="shared" si="86"/>
        <v>1.0285994034794066</v>
      </c>
      <c r="S263" s="76" t="s">
        <v>763</v>
      </c>
      <c r="T263" s="32">
        <f t="shared" si="90"/>
        <v>0</v>
      </c>
      <c r="U263" s="8"/>
      <c r="V263" s="32">
        <f t="shared" si="87"/>
        <v>0</v>
      </c>
      <c r="W263" s="41">
        <f t="shared" si="88"/>
        <v>0</v>
      </c>
    </row>
    <row r="264" spans="2:23" x14ac:dyDescent="0.25">
      <c r="E264" s="57">
        <v>32</v>
      </c>
      <c r="F264" s="31" t="s">
        <v>747</v>
      </c>
      <c r="G264" s="35"/>
      <c r="H264" s="8"/>
      <c r="I264" s="8">
        <f>+SUM(I236:I241,I246:I248,I255:I257)</f>
        <v>0</v>
      </c>
      <c r="J264" s="32" t="s">
        <v>729</v>
      </c>
      <c r="K264" s="39"/>
      <c r="L264" s="32"/>
      <c r="M264" s="101">
        <f>+SUM(M236:M244,M246:M263)</f>
        <v>0</v>
      </c>
      <c r="N264" s="32"/>
      <c r="O264" s="42"/>
      <c r="P264" s="8">
        <f>+SUM(P236:P241,P246:P248,P255:P257)</f>
        <v>0</v>
      </c>
      <c r="Q264" s="32" t="s">
        <v>729</v>
      </c>
      <c r="R264" s="39"/>
      <c r="S264" s="32"/>
      <c r="T264" s="101">
        <f>+SUM(T236:T244,T246:T263)</f>
        <v>0</v>
      </c>
      <c r="U264" s="8"/>
      <c r="V264" s="32">
        <f t="shared" si="87"/>
        <v>0</v>
      </c>
      <c r="W264" s="41">
        <f t="shared" si="88"/>
        <v>0</v>
      </c>
    </row>
    <row r="265" spans="2:23" x14ac:dyDescent="0.25">
      <c r="E265" s="57">
        <v>33</v>
      </c>
      <c r="F265" s="8"/>
      <c r="G265" s="8"/>
      <c r="H265" s="8"/>
      <c r="I265" s="8"/>
      <c r="J265" s="8"/>
      <c r="K265" s="8"/>
      <c r="L265" s="8"/>
      <c r="M265" s="33"/>
      <c r="N265" s="8"/>
      <c r="O265" s="57"/>
      <c r="P265" s="8"/>
      <c r="Q265" s="8"/>
      <c r="R265" s="8"/>
      <c r="S265" s="8"/>
      <c r="T265" s="33"/>
      <c r="U265" s="8"/>
      <c r="V265" s="8"/>
      <c r="W265" s="8"/>
    </row>
    <row r="266" spans="2:23" x14ac:dyDescent="0.25">
      <c r="E266" s="57">
        <v>34</v>
      </c>
      <c r="F266" s="8"/>
      <c r="G266" s="8"/>
      <c r="H266" s="8"/>
      <c r="I266" s="8"/>
      <c r="J266" s="8"/>
      <c r="K266" s="8"/>
      <c r="L266" s="8"/>
      <c r="M266" s="33"/>
      <c r="N266" s="8"/>
      <c r="O266" s="57"/>
      <c r="P266" s="8"/>
      <c r="Q266" s="8"/>
      <c r="R266" s="8"/>
      <c r="S266" s="8"/>
      <c r="T266" s="33"/>
      <c r="U266" s="8"/>
      <c r="V266" s="8"/>
      <c r="W266" s="8"/>
    </row>
    <row r="267" spans="2:23" x14ac:dyDescent="0.25">
      <c r="E267" s="57">
        <v>35</v>
      </c>
      <c r="F267" s="381" t="s">
        <v>771</v>
      </c>
      <c r="G267" s="381"/>
      <c r="H267" s="381"/>
      <c r="I267" s="381"/>
      <c r="J267" s="381"/>
      <c r="K267" s="381"/>
      <c r="L267" s="381"/>
      <c r="M267" s="381"/>
      <c r="N267" s="381"/>
      <c r="O267" s="381"/>
      <c r="P267" s="8"/>
      <c r="Q267" s="8"/>
      <c r="R267" s="8"/>
      <c r="S267" s="8"/>
      <c r="T267" s="8"/>
      <c r="U267" s="8"/>
      <c r="V267" s="8"/>
      <c r="W267" s="8"/>
    </row>
    <row r="268" spans="2:23" x14ac:dyDescent="0.25">
      <c r="E268" s="57">
        <v>36</v>
      </c>
      <c r="F268" s="199"/>
      <c r="G268" s="199"/>
      <c r="H268" s="199"/>
      <c r="I268" s="199"/>
      <c r="J268" s="199"/>
      <c r="K268" s="199"/>
      <c r="L268" s="199"/>
      <c r="M268" s="199"/>
      <c r="N268" s="199"/>
      <c r="O268" s="199"/>
      <c r="P268" s="8"/>
      <c r="Q268" s="8"/>
      <c r="R268" s="199"/>
      <c r="S268" s="8"/>
      <c r="T268" s="8"/>
      <c r="U268" s="8"/>
      <c r="V268" s="8"/>
      <c r="W268" s="8"/>
    </row>
    <row r="269" spans="2:23" x14ac:dyDescent="0.25">
      <c r="E269" s="57">
        <v>37</v>
      </c>
      <c r="F269" s="199"/>
      <c r="G269" s="199"/>
      <c r="H269" s="199"/>
      <c r="I269" s="199"/>
      <c r="J269" s="199"/>
      <c r="K269" s="199"/>
      <c r="L269" s="199"/>
      <c r="M269" s="199"/>
      <c r="N269" s="199"/>
      <c r="O269" s="199"/>
      <c r="P269" s="8"/>
      <c r="Q269" s="8"/>
      <c r="R269" s="199"/>
      <c r="S269" s="8"/>
      <c r="T269" s="8"/>
      <c r="U269" s="8"/>
      <c r="V269" s="8"/>
      <c r="W269" s="8"/>
    </row>
    <row r="270" spans="2:23" x14ac:dyDescent="0.25">
      <c r="E270" s="57">
        <v>38</v>
      </c>
      <c r="F270" s="199"/>
      <c r="G270" s="199"/>
      <c r="H270" s="199"/>
      <c r="I270" s="199"/>
      <c r="J270" s="199"/>
      <c r="K270" s="199"/>
      <c r="L270" s="199"/>
      <c r="M270" s="199"/>
      <c r="N270" s="199"/>
      <c r="O270" s="199"/>
      <c r="P270" s="8"/>
      <c r="Q270" s="8"/>
      <c r="R270" s="199"/>
      <c r="S270" s="8"/>
      <c r="T270" s="8"/>
      <c r="U270" s="8"/>
      <c r="V270" s="8"/>
      <c r="W270" s="8"/>
    </row>
    <row r="271" spans="2:23" ht="15.75" thickBot="1" x14ac:dyDescent="0.3">
      <c r="E271" s="58">
        <v>39</v>
      </c>
      <c r="F271" s="9"/>
      <c r="G271" s="9"/>
      <c r="H271" s="9"/>
      <c r="I271" s="9"/>
      <c r="J271" s="9"/>
      <c r="K271" s="9"/>
      <c r="L271" s="9"/>
      <c r="M271" s="9"/>
      <c r="N271" s="9"/>
      <c r="O271" s="58"/>
      <c r="P271" s="9"/>
      <c r="Q271" s="9"/>
      <c r="R271" s="9"/>
      <c r="S271" s="9"/>
      <c r="T271" s="9"/>
      <c r="U271" s="9"/>
      <c r="V271" s="9"/>
      <c r="W271" s="13"/>
    </row>
    <row r="272" spans="2:23" x14ac:dyDescent="0.25"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57"/>
      <c r="P272" s="8"/>
      <c r="Q272" s="8"/>
      <c r="R272" s="8"/>
      <c r="S272" s="8"/>
      <c r="T272" s="8"/>
      <c r="U272" s="8"/>
      <c r="V272" s="8"/>
      <c r="W272" s="8" t="s">
        <v>304</v>
      </c>
    </row>
    <row r="273" spans="1:23" x14ac:dyDescent="0.25">
      <c r="E273" s="8"/>
      <c r="F273" s="8"/>
      <c r="G273" s="8"/>
      <c r="H273" s="8"/>
      <c r="I273" s="8"/>
      <c r="J273" s="8"/>
      <c r="K273" s="8"/>
      <c r="L273" s="378"/>
      <c r="M273" s="378"/>
      <c r="N273" s="378"/>
      <c r="O273" s="378"/>
      <c r="P273" s="378"/>
      <c r="Q273" s="8"/>
      <c r="R273" s="8"/>
      <c r="S273" s="8"/>
      <c r="T273" s="8"/>
      <c r="U273" s="8"/>
      <c r="V273" s="8"/>
      <c r="W273" s="8"/>
    </row>
    <row r="274" spans="1:23" ht="15.75" thickBot="1" x14ac:dyDescent="0.3">
      <c r="E274" s="9" t="s">
        <v>305</v>
      </c>
      <c r="F274" s="9"/>
      <c r="G274" s="9"/>
      <c r="H274" s="9"/>
      <c r="I274" s="9"/>
      <c r="J274" s="9"/>
      <c r="K274" s="9"/>
      <c r="L274" s="379" t="s">
        <v>306</v>
      </c>
      <c r="M274" s="379"/>
      <c r="N274" s="379"/>
      <c r="O274" s="379"/>
      <c r="P274" s="379"/>
      <c r="Q274" s="9"/>
      <c r="R274" s="9"/>
      <c r="S274" s="9"/>
      <c r="T274" s="9"/>
      <c r="U274" s="9"/>
      <c r="V274" s="9"/>
      <c r="W274" s="13" t="s">
        <v>881</v>
      </c>
    </row>
    <row r="275" spans="1:23" x14ac:dyDescent="0.25">
      <c r="E275" s="8" t="s">
        <v>307</v>
      </c>
      <c r="F275" s="8"/>
      <c r="G275" s="8"/>
      <c r="H275" s="8"/>
      <c r="I275" s="8" t="s">
        <v>308</v>
      </c>
      <c r="J275" s="8" t="s">
        <v>910</v>
      </c>
      <c r="K275" s="8"/>
      <c r="L275" s="8"/>
      <c r="M275" s="8"/>
      <c r="N275" s="8"/>
      <c r="O275" s="98"/>
      <c r="P275" s="99"/>
      <c r="Q275" s="8"/>
      <c r="R275" s="8"/>
      <c r="S275" s="99"/>
      <c r="T275" s="99" t="s">
        <v>309</v>
      </c>
      <c r="U275" s="8"/>
      <c r="V275" s="8"/>
      <c r="W275" s="10"/>
    </row>
    <row r="276" spans="1:23" x14ac:dyDescent="0.25">
      <c r="E276" s="8"/>
      <c r="F276" s="8"/>
      <c r="G276" s="8"/>
      <c r="H276" s="8"/>
      <c r="I276" s="8"/>
      <c r="J276" s="8" t="s">
        <v>911</v>
      </c>
      <c r="K276" s="8"/>
      <c r="L276" s="8"/>
      <c r="M276" s="8"/>
      <c r="N276" s="8"/>
      <c r="O276" s="57"/>
      <c r="P276" s="10"/>
      <c r="Q276" s="8"/>
      <c r="R276" s="8"/>
      <c r="S276" s="11"/>
      <c r="T276" s="117" t="s">
        <v>916</v>
      </c>
      <c r="U276" s="116" t="s">
        <v>1512</v>
      </c>
      <c r="V276" s="8"/>
      <c r="W276" s="11"/>
    </row>
    <row r="277" spans="1:23" x14ac:dyDescent="0.25">
      <c r="E277" s="8" t="s">
        <v>310</v>
      </c>
      <c r="F277" s="8"/>
      <c r="G277" s="8"/>
      <c r="H277" s="8"/>
      <c r="I277" s="8"/>
      <c r="J277" s="8" t="s">
        <v>912</v>
      </c>
      <c r="K277" s="8"/>
      <c r="L277" s="8"/>
      <c r="M277" s="8"/>
      <c r="N277" s="8"/>
      <c r="O277" s="57"/>
      <c r="P277" s="10"/>
      <c r="Q277" s="11"/>
      <c r="R277" s="8"/>
      <c r="S277" s="8"/>
      <c r="T277" s="265"/>
      <c r="U277" s="116"/>
      <c r="V277" s="8"/>
      <c r="W277" s="11"/>
    </row>
    <row r="278" spans="1:23" x14ac:dyDescent="0.25">
      <c r="E278" s="8"/>
      <c r="F278" s="8"/>
      <c r="G278" s="8"/>
      <c r="H278" s="8"/>
      <c r="I278" s="8"/>
      <c r="J278" s="8" t="s">
        <v>913</v>
      </c>
      <c r="K278" s="8"/>
      <c r="L278" s="8"/>
      <c r="M278" s="8"/>
      <c r="N278" s="8"/>
      <c r="O278" s="57"/>
      <c r="P278" s="10"/>
      <c r="Q278" s="11"/>
      <c r="R278" s="8"/>
      <c r="S278" s="8"/>
      <c r="T278" s="265"/>
      <c r="U278" s="116"/>
      <c r="V278" s="8"/>
      <c r="W278" s="11"/>
    </row>
    <row r="279" spans="1:23" x14ac:dyDescent="0.25">
      <c r="E279" s="8"/>
      <c r="F279" s="8"/>
      <c r="G279" s="11"/>
      <c r="H279" s="8"/>
      <c r="I279" s="8"/>
      <c r="J279" s="8" t="s">
        <v>914</v>
      </c>
      <c r="K279" s="8"/>
      <c r="L279" s="12"/>
      <c r="M279" s="12"/>
      <c r="N279" s="12"/>
      <c r="O279" s="57"/>
      <c r="P279" s="8"/>
      <c r="Q279" s="8"/>
      <c r="R279" s="8"/>
      <c r="S279" s="8"/>
      <c r="T279" s="265"/>
      <c r="V279" s="8"/>
      <c r="W279" s="8"/>
    </row>
    <row r="280" spans="1:23" ht="15.75" thickBot="1" x14ac:dyDescent="0.3">
      <c r="E280" s="9" t="s">
        <v>1292</v>
      </c>
      <c r="F280" s="9"/>
      <c r="G280" s="13"/>
      <c r="H280" s="14"/>
      <c r="I280" s="14"/>
      <c r="J280" s="15" t="s">
        <v>915</v>
      </c>
      <c r="K280" s="15"/>
      <c r="L280" s="14"/>
      <c r="M280" s="14"/>
      <c r="N280" s="14"/>
      <c r="O280" s="14"/>
      <c r="P280" s="14"/>
      <c r="Q280" s="14"/>
      <c r="R280" s="15"/>
      <c r="S280" s="14"/>
      <c r="T280" s="14"/>
      <c r="U280" s="114" t="s">
        <v>1519</v>
      </c>
      <c r="V280" s="14"/>
      <c r="W280" s="14"/>
    </row>
    <row r="281" spans="1:23" x14ac:dyDescent="0.25">
      <c r="E281" s="8"/>
      <c r="F281" s="8"/>
      <c r="G281" s="8"/>
      <c r="H281" s="8"/>
      <c r="I281" s="12"/>
      <c r="J281" s="8"/>
      <c r="K281" s="12"/>
      <c r="L281" s="16"/>
      <c r="M281" s="12"/>
      <c r="N281" s="8"/>
      <c r="O281" s="12"/>
      <c r="P281" s="8"/>
      <c r="Q281" s="16"/>
      <c r="R281" s="12"/>
      <c r="S281" s="8"/>
      <c r="T281" s="8"/>
      <c r="U281" s="8"/>
      <c r="V281" s="8"/>
      <c r="W281" s="8"/>
    </row>
    <row r="282" spans="1:23" x14ac:dyDescent="0.25">
      <c r="E282" s="8"/>
      <c r="F282" s="8"/>
      <c r="G282" s="8"/>
      <c r="H282" s="8"/>
      <c r="I282" s="16"/>
      <c r="J282" s="8"/>
      <c r="K282" s="8"/>
      <c r="L282" s="16"/>
      <c r="M282" s="8"/>
      <c r="N282" s="8"/>
      <c r="O282" s="12"/>
      <c r="P282" s="8"/>
      <c r="Q282" s="16"/>
      <c r="R282" s="8"/>
      <c r="S282" s="8"/>
      <c r="T282" s="8"/>
      <c r="U282" s="8"/>
      <c r="V282" s="8"/>
      <c r="W282" s="8"/>
    </row>
    <row r="283" spans="1:23" x14ac:dyDescent="0.25">
      <c r="E283" s="8"/>
      <c r="F283" s="8"/>
      <c r="G283" s="8"/>
      <c r="H283" s="8"/>
      <c r="I283" s="8"/>
      <c r="J283" s="16"/>
      <c r="K283" s="16"/>
      <c r="L283" s="17"/>
      <c r="M283" s="17" t="s">
        <v>311</v>
      </c>
      <c r="N283" s="12"/>
      <c r="O283" s="18" t="s">
        <v>395</v>
      </c>
      <c r="P283" s="16"/>
      <c r="Q283" s="8"/>
      <c r="R283" s="16"/>
      <c r="S283" s="16"/>
      <c r="T283" s="16"/>
      <c r="U283" s="16"/>
      <c r="V283" s="16"/>
      <c r="W283" s="8"/>
    </row>
    <row r="284" spans="1:23" x14ac:dyDescent="0.25">
      <c r="E284" s="8"/>
      <c r="F284" s="8"/>
      <c r="G284" s="8"/>
      <c r="H284" s="8"/>
      <c r="I284" s="8"/>
      <c r="J284" s="16"/>
      <c r="K284" s="16"/>
      <c r="L284" s="16"/>
      <c r="M284" s="16"/>
      <c r="N284" s="16"/>
      <c r="O284" s="12"/>
      <c r="P284" s="16"/>
      <c r="Q284" s="16"/>
      <c r="R284" s="16"/>
      <c r="S284" s="16"/>
      <c r="T284" s="16"/>
      <c r="U284" s="16"/>
      <c r="V284" s="16"/>
      <c r="W284" s="16"/>
    </row>
    <row r="285" spans="1:23" x14ac:dyDescent="0.25">
      <c r="E285" s="57" t="s">
        <v>313</v>
      </c>
      <c r="F285" s="196" t="s">
        <v>314</v>
      </c>
      <c r="G285" s="20"/>
      <c r="H285" s="21"/>
      <c r="I285" s="22"/>
      <c r="J285" s="22"/>
      <c r="K285" s="23" t="s">
        <v>315</v>
      </c>
      <c r="L285" s="22"/>
      <c r="M285" s="22"/>
      <c r="N285" s="20"/>
      <c r="O285" s="24"/>
      <c r="P285" s="22"/>
      <c r="Q285" s="23"/>
      <c r="R285" s="23" t="s">
        <v>316</v>
      </c>
      <c r="S285" s="22"/>
      <c r="T285" s="22"/>
      <c r="U285" s="20"/>
      <c r="V285" s="25" t="s">
        <v>317</v>
      </c>
      <c r="W285" s="25" t="s">
        <v>318</v>
      </c>
    </row>
    <row r="286" spans="1:23" ht="15.75" thickBot="1" x14ac:dyDescent="0.3">
      <c r="A286" s="85" t="s">
        <v>809</v>
      </c>
      <c r="B286" s="85" t="s">
        <v>551</v>
      </c>
      <c r="C286" s="85" t="s">
        <v>552</v>
      </c>
      <c r="E286" s="58" t="s">
        <v>319</v>
      </c>
      <c r="F286" s="192" t="s">
        <v>320</v>
      </c>
      <c r="G286" s="27"/>
      <c r="H286" s="9"/>
      <c r="I286" s="58" t="s">
        <v>321</v>
      </c>
      <c r="J286" s="28"/>
      <c r="K286" s="28" t="s">
        <v>322</v>
      </c>
      <c r="L286" s="28"/>
      <c r="M286" s="28" t="s">
        <v>323</v>
      </c>
      <c r="N286" s="28"/>
      <c r="O286" s="28"/>
      <c r="P286" s="28" t="s">
        <v>321</v>
      </c>
      <c r="Q286" s="28"/>
      <c r="R286" s="28" t="s">
        <v>322</v>
      </c>
      <c r="S286" s="28"/>
      <c r="T286" s="28" t="s">
        <v>323</v>
      </c>
      <c r="U286" s="27"/>
      <c r="V286" s="29" t="s">
        <v>324</v>
      </c>
      <c r="W286" s="29" t="s">
        <v>325</v>
      </c>
    </row>
    <row r="287" spans="1:23" x14ac:dyDescent="0.25">
      <c r="E287" s="57">
        <v>1</v>
      </c>
      <c r="F287" s="380" t="s">
        <v>799</v>
      </c>
      <c r="G287" s="380"/>
      <c r="H287" s="380"/>
      <c r="I287" s="8"/>
      <c r="J287" s="35"/>
      <c r="K287" s="35"/>
      <c r="L287" s="35"/>
      <c r="M287" s="35"/>
      <c r="N287" s="31"/>
      <c r="O287" s="24"/>
      <c r="P287" s="31"/>
      <c r="Q287" s="35"/>
      <c r="R287" s="35"/>
      <c r="S287" s="35"/>
      <c r="T287" s="35"/>
      <c r="U287" s="35"/>
      <c r="V287" s="35"/>
      <c r="W287" s="35"/>
    </row>
    <row r="288" spans="1:23" x14ac:dyDescent="0.25">
      <c r="E288" s="57">
        <v>2</v>
      </c>
      <c r="F288" s="8"/>
      <c r="G288" s="8"/>
      <c r="H288" s="8"/>
      <c r="I288" s="8"/>
      <c r="J288" s="8"/>
      <c r="K288" s="8"/>
      <c r="L288" s="8"/>
      <c r="M288" s="8"/>
      <c r="N288" s="8"/>
      <c r="O288" s="57"/>
      <c r="P288" s="8"/>
      <c r="Q288" s="8"/>
      <c r="R288" s="8"/>
      <c r="S288" s="8"/>
      <c r="T288" s="8"/>
      <c r="U288" s="8"/>
      <c r="V288" s="8"/>
      <c r="W288" s="8"/>
    </row>
    <row r="289" spans="2:23" x14ac:dyDescent="0.25">
      <c r="E289" s="57">
        <v>3</v>
      </c>
      <c r="F289" s="31" t="s">
        <v>764</v>
      </c>
      <c r="G289" s="8"/>
      <c r="H289" s="8"/>
      <c r="I289" s="8"/>
      <c r="J289" s="8"/>
      <c r="K289" s="8"/>
      <c r="L289" s="8"/>
      <c r="M289" s="33"/>
      <c r="N289" s="8"/>
      <c r="O289" s="57"/>
      <c r="P289" s="8"/>
      <c r="Q289" s="8"/>
      <c r="R289" s="8"/>
      <c r="S289" s="8"/>
      <c r="T289" s="33"/>
      <c r="U289" s="8"/>
      <c r="V289" s="8"/>
      <c r="W289" s="8"/>
    </row>
    <row r="290" spans="2:23" x14ac:dyDescent="0.25">
      <c r="B290" t="s">
        <v>827</v>
      </c>
      <c r="C290" t="s">
        <v>668</v>
      </c>
      <c r="E290" s="57">
        <v>4</v>
      </c>
      <c r="F290" s="193" t="s">
        <v>772</v>
      </c>
      <c r="G290" s="8"/>
      <c r="H290" s="8"/>
      <c r="I290" s="8">
        <f>+INDEX('2025 Billing Determinants'!B:B,MATCH('2027 GSD Rate Class E-13c'!B290,'2025 Billing Determinants'!A:A,0))</f>
        <v>0</v>
      </c>
      <c r="J290" s="8" t="s">
        <v>839</v>
      </c>
      <c r="K290" s="106">
        <f>+INDEX('2026 Base Rates'!E:E,MATCH('2027 GSD Rate Class E-13c'!C290,'2026 Base Rates'!D:D,0))</f>
        <v>2.15059593798E-3</v>
      </c>
      <c r="L290" s="8"/>
      <c r="M290" s="33">
        <f>+I290*K290</f>
        <v>0</v>
      </c>
      <c r="N290" s="8"/>
      <c r="O290" s="57"/>
      <c r="P290" s="8">
        <f>+INDEX('2025 Billing Determinants'!B:B,MATCH('2027 GSD Rate Class E-13c'!B290,'2025 Billing Determinants'!A:A,0))</f>
        <v>0</v>
      </c>
      <c r="Q290" s="8" t="s">
        <v>839</v>
      </c>
      <c r="R290" s="106">
        <f t="shared" ref="R290:R295" si="91">+K290*(1+$C$7)</f>
        <v>2.2371768179350569E-3</v>
      </c>
      <c r="S290" s="8"/>
      <c r="T290" s="33">
        <f>+P290*R290</f>
        <v>0</v>
      </c>
      <c r="U290" s="8"/>
      <c r="V290" s="32">
        <f t="shared" ref="V290:V296" si="92">+T290-M290</f>
        <v>0</v>
      </c>
      <c r="W290" s="41">
        <f t="shared" ref="W290:W296" si="93">+IF(V290=0,0,(T290-M290)/M290)</f>
        <v>0</v>
      </c>
    </row>
    <row r="291" spans="2:23" x14ac:dyDescent="0.25">
      <c r="B291" t="s">
        <v>828</v>
      </c>
      <c r="C291" t="s">
        <v>669</v>
      </c>
      <c r="E291" s="57">
        <v>5</v>
      </c>
      <c r="F291" s="193" t="s">
        <v>745</v>
      </c>
      <c r="G291" s="8"/>
      <c r="H291" s="8"/>
      <c r="I291" s="8">
        <f>+INDEX('2025 Billing Determinants'!B:B,MATCH('2027 GSD Rate Class E-13c'!B291,'2025 Billing Determinants'!A:A,0))</f>
        <v>0</v>
      </c>
      <c r="J291" s="8" t="s">
        <v>839</v>
      </c>
      <c r="K291" s="106">
        <f>+INDEX('2026 Base Rates'!E:E,MATCH('2027 GSD Rate Class E-13c'!C291,'2026 Base Rates'!D:D,0))</f>
        <v>2.15059593798E-3</v>
      </c>
      <c r="L291" s="8"/>
      <c r="M291" s="33">
        <f t="shared" ref="M291:M295" si="94">+I291*K291</f>
        <v>0</v>
      </c>
      <c r="N291" s="8"/>
      <c r="O291" s="57"/>
      <c r="P291" s="8">
        <f>+INDEX('2025 Billing Determinants'!B:B,MATCH('2027 GSD Rate Class E-13c'!B291,'2025 Billing Determinants'!A:A,0))</f>
        <v>0</v>
      </c>
      <c r="Q291" s="8" t="s">
        <v>839</v>
      </c>
      <c r="R291" s="106">
        <f t="shared" si="91"/>
        <v>2.2371768179350569E-3</v>
      </c>
      <c r="S291" s="8"/>
      <c r="T291" s="33">
        <f t="shared" ref="T291:T295" si="95">+P291*R291</f>
        <v>0</v>
      </c>
      <c r="U291" s="8"/>
      <c r="V291" s="32">
        <f t="shared" si="92"/>
        <v>0</v>
      </c>
      <c r="W291" s="41">
        <f t="shared" si="93"/>
        <v>0</v>
      </c>
    </row>
    <row r="292" spans="2:23" x14ac:dyDescent="0.25">
      <c r="B292" t="s">
        <v>829</v>
      </c>
      <c r="C292" t="s">
        <v>670</v>
      </c>
      <c r="E292" s="57">
        <v>6</v>
      </c>
      <c r="F292" s="193" t="s">
        <v>768</v>
      </c>
      <c r="G292" s="8"/>
      <c r="H292" s="8"/>
      <c r="I292" s="8">
        <f>+INDEX('2025 Billing Determinants'!B:B,MATCH('2027 GSD Rate Class E-13c'!B292,'2025 Billing Determinants'!A:A,0))</f>
        <v>0</v>
      </c>
      <c r="J292" s="8" t="s">
        <v>839</v>
      </c>
      <c r="K292" s="106">
        <f>+INDEX('2026 Base Rates'!E:E,MATCH('2027 GSD Rate Class E-13c'!C292,'2026 Base Rates'!D:D,0))</f>
        <v>2.15059593798E-3</v>
      </c>
      <c r="L292" s="8"/>
      <c r="M292" s="33">
        <f t="shared" si="94"/>
        <v>0</v>
      </c>
      <c r="N292" s="8"/>
      <c r="O292" s="57"/>
      <c r="P292" s="8">
        <f>+INDEX('2025 Billing Determinants'!B:B,MATCH('2027 GSD Rate Class E-13c'!B292,'2025 Billing Determinants'!A:A,0))</f>
        <v>0</v>
      </c>
      <c r="Q292" s="8" t="s">
        <v>839</v>
      </c>
      <c r="R292" s="106">
        <f t="shared" si="91"/>
        <v>2.2371768179350569E-3</v>
      </c>
      <c r="S292" s="8"/>
      <c r="T292" s="33">
        <f t="shared" si="95"/>
        <v>0</v>
      </c>
      <c r="U292" s="8"/>
      <c r="V292" s="32">
        <f t="shared" si="92"/>
        <v>0</v>
      </c>
      <c r="W292" s="41">
        <f t="shared" si="93"/>
        <v>0</v>
      </c>
    </row>
    <row r="293" spans="2:23" x14ac:dyDescent="0.25">
      <c r="B293" t="s">
        <v>833</v>
      </c>
      <c r="C293" t="s">
        <v>671</v>
      </c>
      <c r="E293" s="57">
        <v>7</v>
      </c>
      <c r="F293" s="8" t="s">
        <v>773</v>
      </c>
      <c r="G293" s="8"/>
      <c r="H293" s="8"/>
      <c r="I293" s="8">
        <f>+INDEX('2025 Billing Determinants'!B:B,MATCH('2027 GSD Rate Class E-13c'!B293,'2025 Billing Determinants'!A:A,0))</f>
        <v>0</v>
      </c>
      <c r="J293" s="8" t="s">
        <v>839</v>
      </c>
      <c r="K293" s="106">
        <f>+INDEX('2026 Base Rates'!E:E,MATCH('2027 GSD Rate Class E-13c'!C293,'2026 Base Rates'!D:D,0))</f>
        <v>2.15059593798E-3</v>
      </c>
      <c r="L293" s="8"/>
      <c r="M293" s="33">
        <f t="shared" si="94"/>
        <v>0</v>
      </c>
      <c r="N293" s="8"/>
      <c r="O293" s="57"/>
      <c r="P293" s="8">
        <f>+INDEX('2025 Billing Determinants'!B:B,MATCH('2027 GSD Rate Class E-13c'!B293,'2025 Billing Determinants'!A:A,0))</f>
        <v>0</v>
      </c>
      <c r="Q293" s="8" t="s">
        <v>839</v>
      </c>
      <c r="R293" s="106">
        <f t="shared" si="91"/>
        <v>2.2371768179350569E-3</v>
      </c>
      <c r="S293" s="8"/>
      <c r="T293" s="33">
        <f t="shared" si="95"/>
        <v>0</v>
      </c>
      <c r="U293" s="8"/>
      <c r="V293" s="32">
        <f t="shared" si="92"/>
        <v>0</v>
      </c>
      <c r="W293" s="41">
        <f t="shared" si="93"/>
        <v>0</v>
      </c>
    </row>
    <row r="294" spans="2:23" x14ac:dyDescent="0.25">
      <c r="B294" t="s">
        <v>834</v>
      </c>
      <c r="C294" t="s">
        <v>672</v>
      </c>
      <c r="E294" s="57">
        <v>8</v>
      </c>
      <c r="F294" s="8" t="s">
        <v>746</v>
      </c>
      <c r="G294" s="8"/>
      <c r="H294" s="8"/>
      <c r="I294" s="8">
        <f>+INDEX('2025 Billing Determinants'!B:B,MATCH('2027 GSD Rate Class E-13c'!B294,'2025 Billing Determinants'!A:A,0))</f>
        <v>0</v>
      </c>
      <c r="J294" s="8" t="s">
        <v>839</v>
      </c>
      <c r="K294" s="106">
        <f>+INDEX('2026 Base Rates'!E:E,MATCH('2027 GSD Rate Class E-13c'!C294,'2026 Base Rates'!D:D,0))</f>
        <v>2.15059593798E-3</v>
      </c>
      <c r="L294" s="8"/>
      <c r="M294" s="33">
        <f t="shared" si="94"/>
        <v>0</v>
      </c>
      <c r="N294" s="8"/>
      <c r="O294" s="57"/>
      <c r="P294" s="8">
        <f>+INDEX('2025 Billing Determinants'!B:B,MATCH('2027 GSD Rate Class E-13c'!B294,'2025 Billing Determinants'!A:A,0))</f>
        <v>0</v>
      </c>
      <c r="Q294" s="8" t="s">
        <v>839</v>
      </c>
      <c r="R294" s="106">
        <f t="shared" si="91"/>
        <v>2.2371768179350569E-3</v>
      </c>
      <c r="S294" s="8"/>
      <c r="T294" s="33">
        <f t="shared" si="95"/>
        <v>0</v>
      </c>
      <c r="U294" s="8"/>
      <c r="V294" s="32">
        <f t="shared" si="92"/>
        <v>0</v>
      </c>
      <c r="W294" s="41">
        <f t="shared" si="93"/>
        <v>0</v>
      </c>
    </row>
    <row r="295" spans="2:23" x14ac:dyDescent="0.25">
      <c r="B295" t="s">
        <v>835</v>
      </c>
      <c r="C295" t="s">
        <v>673</v>
      </c>
      <c r="E295" s="57">
        <v>9</v>
      </c>
      <c r="F295" s="8" t="s">
        <v>769</v>
      </c>
      <c r="G295" s="8"/>
      <c r="H295" s="8"/>
      <c r="I295" s="206">
        <f>+INDEX('2025 Billing Determinants'!B:B,MATCH('2027 GSD Rate Class E-13c'!B295,'2025 Billing Determinants'!A:A,0))</f>
        <v>0</v>
      </c>
      <c r="J295" s="8" t="s">
        <v>839</v>
      </c>
      <c r="K295" s="106">
        <f>+INDEX('2026 Base Rates'!E:E,MATCH('2027 GSD Rate Class E-13c'!C295,'2026 Base Rates'!D:D,0))</f>
        <v>2.15059593798E-3</v>
      </c>
      <c r="L295" s="8"/>
      <c r="M295" s="33">
        <f t="shared" si="94"/>
        <v>0</v>
      </c>
      <c r="N295" s="8"/>
      <c r="O295" s="57"/>
      <c r="P295" s="206">
        <f>+INDEX('2025 Billing Determinants'!B:B,MATCH('2027 GSD Rate Class E-13c'!B295,'2025 Billing Determinants'!A:A,0))</f>
        <v>0</v>
      </c>
      <c r="Q295" s="8" t="s">
        <v>839</v>
      </c>
      <c r="R295" s="106">
        <f t="shared" si="91"/>
        <v>2.2371768179350569E-3</v>
      </c>
      <c r="S295" s="8"/>
      <c r="T295" s="33">
        <f t="shared" si="95"/>
        <v>0</v>
      </c>
      <c r="U295" s="8"/>
      <c r="V295" s="32">
        <f t="shared" si="92"/>
        <v>0</v>
      </c>
      <c r="W295" s="41">
        <f t="shared" si="93"/>
        <v>0</v>
      </c>
    </row>
    <row r="296" spans="2:23" x14ac:dyDescent="0.25">
      <c r="E296" s="57">
        <v>10</v>
      </c>
      <c r="F296" s="8"/>
      <c r="G296" s="8"/>
      <c r="H296" s="8"/>
      <c r="I296" s="8">
        <f>+SUM(I290:I295)</f>
        <v>0</v>
      </c>
      <c r="J296" s="8"/>
      <c r="K296" s="8"/>
      <c r="L296" s="8"/>
      <c r="M296" s="209">
        <f>+SUM(M290:M295)</f>
        <v>0</v>
      </c>
      <c r="N296" s="8"/>
      <c r="O296" s="57"/>
      <c r="P296" s="8">
        <f>+SUM(P290:P295)</f>
        <v>0</v>
      </c>
      <c r="Q296" s="8" t="s">
        <v>839</v>
      </c>
      <c r="R296" s="8"/>
      <c r="S296" s="8"/>
      <c r="T296" s="209">
        <f>+SUM(T290:T295)</f>
        <v>0</v>
      </c>
      <c r="U296" s="8"/>
      <c r="V296" s="32">
        <f t="shared" si="92"/>
        <v>0</v>
      </c>
      <c r="W296" s="41">
        <f t="shared" si="93"/>
        <v>0</v>
      </c>
    </row>
    <row r="297" spans="2:23" x14ac:dyDescent="0.25">
      <c r="E297" s="57">
        <v>11</v>
      </c>
      <c r="F297" s="31" t="s">
        <v>765</v>
      </c>
      <c r="G297" s="8"/>
      <c r="H297" s="8"/>
      <c r="I297" s="8"/>
      <c r="J297" s="8"/>
      <c r="K297" s="8"/>
      <c r="L297" s="8"/>
      <c r="M297" s="33"/>
      <c r="N297" s="8"/>
      <c r="O297" s="57"/>
      <c r="P297" s="8"/>
      <c r="Q297" s="8"/>
      <c r="R297" s="8"/>
      <c r="S297" s="8"/>
      <c r="T297" s="33"/>
      <c r="U297" s="8"/>
      <c r="V297" s="8"/>
      <c r="W297" s="8"/>
    </row>
    <row r="298" spans="2:23" x14ac:dyDescent="0.25">
      <c r="B298" t="s">
        <v>830</v>
      </c>
      <c r="C298" t="s">
        <v>679</v>
      </c>
      <c r="E298" s="57">
        <v>12</v>
      </c>
      <c r="F298" s="193" t="s">
        <v>772</v>
      </c>
      <c r="G298" s="8"/>
      <c r="H298" s="8"/>
      <c r="I298" s="8">
        <f>+INDEX('2025 Billing Determinants'!B:B,MATCH('2027 GSD Rate Class E-13c'!B298,'2025 Billing Determinants'!A:A,0))</f>
        <v>0</v>
      </c>
      <c r="J298" s="8" t="s">
        <v>839</v>
      </c>
      <c r="K298" s="106">
        <f>+INDEX('2026 Base Rates'!E:E,MATCH('2027 GSD Rate Class E-13c'!C298,'2026 Base Rates'!D:D,0))</f>
        <v>-1.08059500332E-3</v>
      </c>
      <c r="L298" s="8"/>
      <c r="M298" s="33">
        <f>+I298*K298</f>
        <v>0</v>
      </c>
      <c r="N298" s="8"/>
      <c r="O298" s="57"/>
      <c r="P298" s="8">
        <f>+INDEX('2025 Billing Determinants'!B:B,MATCH('2027 GSD Rate Class E-13c'!B298,'2025 Billing Determinants'!A:A,0))</f>
        <v>0</v>
      </c>
      <c r="Q298" s="8" t="s">
        <v>839</v>
      </c>
      <c r="R298" s="106">
        <f t="shared" ref="R298:R303" si="96">+K298*(1+$C$7)</f>
        <v>-1.1240986966964326E-3</v>
      </c>
      <c r="S298" s="8"/>
      <c r="T298" s="33">
        <f>+P298*R298</f>
        <v>0</v>
      </c>
      <c r="U298" s="8"/>
      <c r="V298" s="32">
        <f t="shared" ref="V298:V304" si="97">+T298-M298</f>
        <v>0</v>
      </c>
      <c r="W298" s="41">
        <f t="shared" ref="W298:W304" si="98">+IF(V298=0,0,(T298-M298)/M298)</f>
        <v>0</v>
      </c>
    </row>
    <row r="299" spans="2:23" x14ac:dyDescent="0.25">
      <c r="B299" t="s">
        <v>831</v>
      </c>
      <c r="C299" t="s">
        <v>674</v>
      </c>
      <c r="E299" s="57">
        <v>13</v>
      </c>
      <c r="F299" s="193" t="s">
        <v>745</v>
      </c>
      <c r="G299" s="8"/>
      <c r="H299" s="8"/>
      <c r="I299" s="8">
        <f>+INDEX('2025 Billing Determinants'!B:B,MATCH('2027 GSD Rate Class E-13c'!B299,'2025 Billing Determinants'!A:A,0))</f>
        <v>0</v>
      </c>
      <c r="J299" s="8" t="s">
        <v>839</v>
      </c>
      <c r="K299" s="106">
        <f>+INDEX('2026 Base Rates'!E:E,MATCH('2027 GSD Rate Class E-13c'!C299,'2026 Base Rates'!D:D,0))</f>
        <v>-1.08059500332E-3</v>
      </c>
      <c r="L299" s="8"/>
      <c r="M299" s="33">
        <f t="shared" ref="M299:M303" si="99">+I299*K299</f>
        <v>0</v>
      </c>
      <c r="N299" s="8"/>
      <c r="O299" s="57"/>
      <c r="P299" s="8">
        <f>+INDEX('2025 Billing Determinants'!B:B,MATCH('2027 GSD Rate Class E-13c'!B299,'2025 Billing Determinants'!A:A,0))</f>
        <v>0</v>
      </c>
      <c r="Q299" s="8" t="s">
        <v>839</v>
      </c>
      <c r="R299" s="106">
        <f t="shared" si="96"/>
        <v>-1.1240986966964326E-3</v>
      </c>
      <c r="S299" s="8"/>
      <c r="T299" s="33">
        <f t="shared" ref="T299:T303" si="100">+P299*R299</f>
        <v>0</v>
      </c>
      <c r="U299" s="8"/>
      <c r="V299" s="32">
        <f t="shared" si="97"/>
        <v>0</v>
      </c>
      <c r="W299" s="41">
        <f t="shared" si="98"/>
        <v>0</v>
      </c>
    </row>
    <row r="300" spans="2:23" x14ac:dyDescent="0.25">
      <c r="B300" t="s">
        <v>832</v>
      </c>
      <c r="C300" t="s">
        <v>675</v>
      </c>
      <c r="E300" s="57">
        <v>14</v>
      </c>
      <c r="F300" s="193" t="s">
        <v>768</v>
      </c>
      <c r="G300" s="31"/>
      <c r="H300" s="8"/>
      <c r="I300" s="8">
        <f>+INDEX('2025 Billing Determinants'!B:B,MATCH('2027 GSD Rate Class E-13c'!B300,'2025 Billing Determinants'!A:A,0))</f>
        <v>0</v>
      </c>
      <c r="J300" s="8" t="s">
        <v>839</v>
      </c>
      <c r="K300" s="106">
        <f>+INDEX('2026 Base Rates'!E:E,MATCH('2027 GSD Rate Class E-13c'!C300,'2026 Base Rates'!D:D,0))</f>
        <v>-1.08059500332E-3</v>
      </c>
      <c r="L300" s="8"/>
      <c r="M300" s="33">
        <f t="shared" si="99"/>
        <v>0</v>
      </c>
      <c r="N300" s="8"/>
      <c r="O300" s="57"/>
      <c r="P300" s="8">
        <f>+INDEX('2025 Billing Determinants'!B:B,MATCH('2027 GSD Rate Class E-13c'!B300,'2025 Billing Determinants'!A:A,0))</f>
        <v>0</v>
      </c>
      <c r="Q300" s="8" t="s">
        <v>839</v>
      </c>
      <c r="R300" s="106">
        <f t="shared" si="96"/>
        <v>-1.1240986966964326E-3</v>
      </c>
      <c r="S300" s="8"/>
      <c r="T300" s="33">
        <f t="shared" si="100"/>
        <v>0</v>
      </c>
      <c r="U300" s="8"/>
      <c r="V300" s="32">
        <f t="shared" si="97"/>
        <v>0</v>
      </c>
      <c r="W300" s="41">
        <f t="shared" si="98"/>
        <v>0</v>
      </c>
    </row>
    <row r="301" spans="2:23" x14ac:dyDescent="0.25">
      <c r="B301" t="s">
        <v>836</v>
      </c>
      <c r="C301" t="s">
        <v>676</v>
      </c>
      <c r="E301" s="57">
        <v>15</v>
      </c>
      <c r="F301" s="8" t="s">
        <v>773</v>
      </c>
      <c r="G301" s="8"/>
      <c r="H301" s="8"/>
      <c r="I301" s="8">
        <f>+INDEX('2025 Billing Determinants'!B:B,MATCH('2027 GSD Rate Class E-13c'!B301,'2025 Billing Determinants'!A:A,0))</f>
        <v>0</v>
      </c>
      <c r="J301" s="8" t="s">
        <v>839</v>
      </c>
      <c r="K301" s="106">
        <f>+INDEX('2026 Base Rates'!E:E,MATCH('2027 GSD Rate Class E-13c'!C301,'2026 Base Rates'!D:D,0))</f>
        <v>-1.08059500332E-3</v>
      </c>
      <c r="L301" s="8"/>
      <c r="M301" s="33">
        <f t="shared" si="99"/>
        <v>0</v>
      </c>
      <c r="N301" s="8"/>
      <c r="O301" s="57"/>
      <c r="P301" s="8">
        <f>+INDEX('2025 Billing Determinants'!B:B,MATCH('2027 GSD Rate Class E-13c'!B301,'2025 Billing Determinants'!A:A,0))</f>
        <v>0</v>
      </c>
      <c r="Q301" s="8" t="s">
        <v>839</v>
      </c>
      <c r="R301" s="106">
        <f t="shared" si="96"/>
        <v>-1.1240986966964326E-3</v>
      </c>
      <c r="S301" s="8"/>
      <c r="T301" s="33">
        <f t="shared" si="100"/>
        <v>0</v>
      </c>
      <c r="U301" s="8"/>
      <c r="V301" s="32">
        <f t="shared" si="97"/>
        <v>0</v>
      </c>
      <c r="W301" s="41">
        <f t="shared" si="98"/>
        <v>0</v>
      </c>
    </row>
    <row r="302" spans="2:23" x14ac:dyDescent="0.25">
      <c r="B302" t="s">
        <v>837</v>
      </c>
      <c r="C302" t="s">
        <v>677</v>
      </c>
      <c r="E302" s="57">
        <v>16</v>
      </c>
      <c r="F302" s="8" t="s">
        <v>746</v>
      </c>
      <c r="G302" s="8"/>
      <c r="H302" s="8"/>
      <c r="I302" s="8">
        <f>+INDEX('2025 Billing Determinants'!B:B,MATCH('2027 GSD Rate Class E-13c'!B302,'2025 Billing Determinants'!A:A,0))</f>
        <v>0</v>
      </c>
      <c r="J302" s="8" t="s">
        <v>839</v>
      </c>
      <c r="K302" s="106">
        <f>+INDEX('2026 Base Rates'!E:E,MATCH('2027 GSD Rate Class E-13c'!C302,'2026 Base Rates'!D:D,0))</f>
        <v>-1.08059500332E-3</v>
      </c>
      <c r="L302" s="8"/>
      <c r="M302" s="33">
        <f t="shared" si="99"/>
        <v>0</v>
      </c>
      <c r="N302" s="8"/>
      <c r="O302" s="57"/>
      <c r="P302" s="8">
        <f>+INDEX('2025 Billing Determinants'!B:B,MATCH('2027 GSD Rate Class E-13c'!B302,'2025 Billing Determinants'!A:A,0))</f>
        <v>0</v>
      </c>
      <c r="Q302" s="8" t="s">
        <v>839</v>
      </c>
      <c r="R302" s="106">
        <f t="shared" si="96"/>
        <v>-1.1240986966964326E-3</v>
      </c>
      <c r="S302" s="8"/>
      <c r="T302" s="33">
        <f t="shared" si="100"/>
        <v>0</v>
      </c>
      <c r="U302" s="8"/>
      <c r="V302" s="32">
        <f t="shared" si="97"/>
        <v>0</v>
      </c>
      <c r="W302" s="41">
        <f t="shared" si="98"/>
        <v>0</v>
      </c>
    </row>
    <row r="303" spans="2:23" x14ac:dyDescent="0.25">
      <c r="B303" t="s">
        <v>838</v>
      </c>
      <c r="C303" t="s">
        <v>678</v>
      </c>
      <c r="E303" s="57">
        <v>17</v>
      </c>
      <c r="F303" s="8" t="s">
        <v>769</v>
      </c>
      <c r="G303" s="8"/>
      <c r="H303" s="8"/>
      <c r="I303" s="206">
        <f>+INDEX('2025 Billing Determinants'!B:B,MATCH('2027 GSD Rate Class E-13c'!B303,'2025 Billing Determinants'!A:A,0))</f>
        <v>0</v>
      </c>
      <c r="J303" s="8" t="s">
        <v>839</v>
      </c>
      <c r="K303" s="106">
        <f>+INDEX('2026 Base Rates'!E:E,MATCH('2027 GSD Rate Class E-13c'!C303,'2026 Base Rates'!D:D,0))</f>
        <v>-1.08059500332E-3</v>
      </c>
      <c r="L303" s="8"/>
      <c r="M303" s="33">
        <f t="shared" si="99"/>
        <v>0</v>
      </c>
      <c r="N303" s="8"/>
      <c r="O303" s="57"/>
      <c r="P303" s="206">
        <f>+INDEX('2025 Billing Determinants'!B:B,MATCH('2027 GSD Rate Class E-13c'!B303,'2025 Billing Determinants'!A:A,0))</f>
        <v>0</v>
      </c>
      <c r="Q303" s="8" t="s">
        <v>839</v>
      </c>
      <c r="R303" s="106">
        <f t="shared" si="96"/>
        <v>-1.1240986966964326E-3</v>
      </c>
      <c r="S303" s="8"/>
      <c r="T303" s="33">
        <f t="shared" si="100"/>
        <v>0</v>
      </c>
      <c r="U303" s="8"/>
      <c r="V303" s="32">
        <f t="shared" si="97"/>
        <v>0</v>
      </c>
      <c r="W303" s="41">
        <f t="shared" si="98"/>
        <v>0</v>
      </c>
    </row>
    <row r="304" spans="2:23" x14ac:dyDescent="0.25">
      <c r="E304" s="57">
        <v>18</v>
      </c>
      <c r="F304" s="31" t="s">
        <v>747</v>
      </c>
      <c r="G304" s="31"/>
      <c r="H304" s="8"/>
      <c r="I304" s="8">
        <f>+SUM(I298:I303)</f>
        <v>0</v>
      </c>
      <c r="J304" s="8" t="s">
        <v>839</v>
      </c>
      <c r="K304" s="8"/>
      <c r="L304" s="8"/>
      <c r="M304" s="101">
        <f>+SUM(M298:M303)</f>
        <v>0</v>
      </c>
      <c r="N304" s="8"/>
      <c r="O304" s="57"/>
      <c r="P304" s="8">
        <f>+SUM(P298:P303)</f>
        <v>0</v>
      </c>
      <c r="Q304" s="8" t="s">
        <v>839</v>
      </c>
      <c r="R304" s="8"/>
      <c r="S304" s="8"/>
      <c r="T304" s="101">
        <f>+SUM(T298:T303)</f>
        <v>0</v>
      </c>
      <c r="U304" s="8"/>
      <c r="V304" s="32">
        <f t="shared" si="97"/>
        <v>0</v>
      </c>
      <c r="W304" s="41">
        <f t="shared" si="98"/>
        <v>0</v>
      </c>
    </row>
    <row r="305" spans="2:23" x14ac:dyDescent="0.25">
      <c r="E305" s="57">
        <v>19</v>
      </c>
      <c r="F305" s="8"/>
      <c r="G305" s="8"/>
      <c r="H305" s="8"/>
      <c r="I305" s="8"/>
      <c r="J305" s="8"/>
      <c r="K305" s="8"/>
      <c r="L305" s="8"/>
      <c r="M305" s="33"/>
      <c r="N305" s="8"/>
      <c r="O305" s="57"/>
      <c r="P305" s="8"/>
      <c r="Q305" s="8"/>
      <c r="R305" s="8"/>
      <c r="S305" s="8"/>
      <c r="T305" s="33"/>
      <c r="U305" s="8"/>
      <c r="V305" s="8"/>
      <c r="W305" s="8"/>
    </row>
    <row r="306" spans="2:23" x14ac:dyDescent="0.25">
      <c r="E306" s="57">
        <v>20</v>
      </c>
      <c r="F306" s="8" t="s">
        <v>800</v>
      </c>
      <c r="G306" s="8"/>
      <c r="H306" s="8"/>
      <c r="I306" s="8"/>
      <c r="J306" s="8"/>
      <c r="K306" s="8"/>
      <c r="L306" s="8"/>
      <c r="M306" s="33"/>
      <c r="N306" s="8"/>
      <c r="O306" s="57"/>
      <c r="P306" s="8"/>
      <c r="Q306" s="8"/>
      <c r="R306" s="8"/>
      <c r="S306" s="8"/>
      <c r="T306" s="33"/>
      <c r="U306" s="8"/>
      <c r="V306" s="8"/>
      <c r="W306" s="8"/>
    </row>
    <row r="307" spans="2:23" x14ac:dyDescent="0.25">
      <c r="B307" t="s">
        <v>119</v>
      </c>
      <c r="C307" t="s">
        <v>654</v>
      </c>
      <c r="E307" s="57">
        <v>21</v>
      </c>
      <c r="F307" s="193" t="s">
        <v>745</v>
      </c>
      <c r="G307" s="8"/>
      <c r="H307" s="8"/>
      <c r="I307" s="8">
        <f>+INDEX('2025 Billing Determinants'!B:B,MATCH('2027 GSD Rate Class E-13c'!B307,'2025 Billing Determinants'!A:A,0))</f>
        <v>0</v>
      </c>
      <c r="J307" s="32" t="s">
        <v>729</v>
      </c>
      <c r="K307" s="47">
        <f>+INDEX('2026 Base Rates'!E:E,MATCH('2027 GSD Rate Class E-13c'!C307,'2026 Base Rates'!D:D,0))</f>
        <v>-0.57207970764000005</v>
      </c>
      <c r="L307" s="8"/>
      <c r="M307" s="32">
        <f>+I307*K307</f>
        <v>0</v>
      </c>
      <c r="N307" s="8"/>
      <c r="O307" s="57"/>
      <c r="P307" s="8">
        <f>+INDEX('2025 Billing Determinants'!B:B,MATCH('2027 GSD Rate Class E-13c'!B307,'2025 Billing Determinants'!A:A,0))</f>
        <v>0</v>
      </c>
      <c r="Q307" s="32" t="s">
        <v>729</v>
      </c>
      <c r="R307" s="47">
        <f t="shared" ref="R307:R310" si="101">+K307*(1+$C$7)</f>
        <v>-0.59511107472164082</v>
      </c>
      <c r="S307" s="8"/>
      <c r="T307" s="32">
        <f>+P307*R307</f>
        <v>0</v>
      </c>
      <c r="U307" s="8"/>
      <c r="V307" s="32">
        <f t="shared" ref="V307:V310" si="102">+T307-M307</f>
        <v>0</v>
      </c>
      <c r="W307" s="41">
        <f t="shared" ref="W307:W310" si="103">+IF(V307=0,0,(T307-M307)/M307)</f>
        <v>0</v>
      </c>
    </row>
    <row r="308" spans="2:23" x14ac:dyDescent="0.25">
      <c r="B308" t="s">
        <v>120</v>
      </c>
      <c r="C308" t="s">
        <v>655</v>
      </c>
      <c r="E308" s="57">
        <v>22</v>
      </c>
      <c r="F308" s="193" t="s">
        <v>768</v>
      </c>
      <c r="G308" s="8"/>
      <c r="H308" s="8"/>
      <c r="I308" s="8">
        <f>+INDEX('2025 Billing Determinants'!B:B,MATCH('2027 GSD Rate Class E-13c'!B308,'2025 Billing Determinants'!A:A,0))</f>
        <v>0</v>
      </c>
      <c r="J308" s="32" t="s">
        <v>729</v>
      </c>
      <c r="K308" s="47">
        <f>+INDEX('2026 Base Rates'!E:E,MATCH('2027 GSD Rate Class E-13c'!C308,'2026 Base Rates'!D:D,0))</f>
        <v>-3.27356721594</v>
      </c>
      <c r="L308" s="8"/>
      <c r="M308" s="32">
        <f t="shared" ref="M308:M310" si="104">+I308*K308</f>
        <v>0</v>
      </c>
      <c r="N308" s="8"/>
      <c r="O308" s="57"/>
      <c r="P308" s="8">
        <f>+INDEX('2025 Billing Determinants'!B:B,MATCH('2027 GSD Rate Class E-13c'!B308,'2025 Billing Determinants'!A:A,0))</f>
        <v>0</v>
      </c>
      <c r="Q308" s="32" t="s">
        <v>729</v>
      </c>
      <c r="R308" s="47">
        <f t="shared" si="101"/>
        <v>-3.4053578164627223</v>
      </c>
      <c r="S308" s="8"/>
      <c r="T308" s="32">
        <f t="shared" ref="T308:T310" si="105">+P308*R308</f>
        <v>0</v>
      </c>
      <c r="U308" s="8"/>
      <c r="V308" s="32">
        <f t="shared" si="102"/>
        <v>0</v>
      </c>
      <c r="W308" s="41">
        <f t="shared" si="103"/>
        <v>0</v>
      </c>
    </row>
    <row r="309" spans="2:23" x14ac:dyDescent="0.25">
      <c r="B309" t="s">
        <v>172</v>
      </c>
      <c r="C309" t="s">
        <v>656</v>
      </c>
      <c r="E309" s="57">
        <v>23</v>
      </c>
      <c r="F309" s="8" t="s">
        <v>746</v>
      </c>
      <c r="G309" s="8"/>
      <c r="H309" s="8"/>
      <c r="I309" s="8">
        <f>+INDEX('2025 Billing Determinants'!B:B,MATCH('2027 GSD Rate Class E-13c'!B309,'2025 Billing Determinants'!A:A,0))</f>
        <v>0</v>
      </c>
      <c r="J309" s="32" t="s">
        <v>729</v>
      </c>
      <c r="K309" s="47">
        <f>+INDEX('2026 Base Rates'!E:E,MATCH('2027 GSD Rate Class E-13c'!C309,'2026 Base Rates'!D:D,0))</f>
        <v>-0.57207970764000005</v>
      </c>
      <c r="L309" s="8"/>
      <c r="M309" s="32">
        <f t="shared" si="104"/>
        <v>0</v>
      </c>
      <c r="N309" s="8"/>
      <c r="O309" s="57"/>
      <c r="P309" s="8">
        <f>+INDEX('2025 Billing Determinants'!B:B,MATCH('2027 GSD Rate Class E-13c'!B309,'2025 Billing Determinants'!A:A,0))</f>
        <v>0</v>
      </c>
      <c r="Q309" s="32" t="s">
        <v>729</v>
      </c>
      <c r="R309" s="47">
        <f t="shared" si="101"/>
        <v>-0.59511107472164082</v>
      </c>
      <c r="S309" s="8"/>
      <c r="T309" s="32">
        <f t="shared" si="105"/>
        <v>0</v>
      </c>
      <c r="U309" s="8"/>
      <c r="V309" s="32">
        <f t="shared" si="102"/>
        <v>0</v>
      </c>
      <c r="W309" s="41">
        <f t="shared" si="103"/>
        <v>0</v>
      </c>
    </row>
    <row r="310" spans="2:23" x14ac:dyDescent="0.25">
      <c r="B310" t="s">
        <v>173</v>
      </c>
      <c r="C310" t="s">
        <v>657</v>
      </c>
      <c r="E310" s="57">
        <v>24</v>
      </c>
      <c r="F310" s="8" t="s">
        <v>769</v>
      </c>
      <c r="G310" s="8"/>
      <c r="H310" s="8"/>
      <c r="I310" s="8">
        <f>+INDEX('2025 Billing Determinants'!B:B,MATCH('2027 GSD Rate Class E-13c'!B310,'2025 Billing Determinants'!A:A,0))</f>
        <v>0</v>
      </c>
      <c r="J310" s="32" t="s">
        <v>729</v>
      </c>
      <c r="K310" s="47">
        <f>+INDEX('2026 Base Rates'!E:E,MATCH('2027 GSD Rate Class E-13c'!C310,'2026 Base Rates'!D:D,0))</f>
        <v>-3.27356721594</v>
      </c>
      <c r="L310" s="8"/>
      <c r="M310" s="32">
        <f t="shared" si="104"/>
        <v>0</v>
      </c>
      <c r="N310" s="8"/>
      <c r="O310" s="57"/>
      <c r="P310" s="8">
        <f>+INDEX('2025 Billing Determinants'!B:B,MATCH('2027 GSD Rate Class E-13c'!B310,'2025 Billing Determinants'!A:A,0))</f>
        <v>0</v>
      </c>
      <c r="Q310" s="32" t="s">
        <v>729</v>
      </c>
      <c r="R310" s="47">
        <f t="shared" si="101"/>
        <v>-3.4053578164627223</v>
      </c>
      <c r="S310" s="8"/>
      <c r="T310" s="32">
        <f t="shared" si="105"/>
        <v>0</v>
      </c>
      <c r="U310" s="8"/>
      <c r="V310" s="32">
        <f t="shared" si="102"/>
        <v>0</v>
      </c>
      <c r="W310" s="41">
        <f t="shared" si="103"/>
        <v>0</v>
      </c>
    </row>
    <row r="311" spans="2:23" x14ac:dyDescent="0.25">
      <c r="E311" s="57">
        <v>25</v>
      </c>
      <c r="F311" s="8"/>
      <c r="G311" s="8"/>
      <c r="H311" s="8"/>
      <c r="I311" s="8"/>
      <c r="J311" s="8"/>
      <c r="K311" s="8"/>
      <c r="L311" s="8"/>
      <c r="M311" s="8"/>
      <c r="N311" s="8"/>
      <c r="O311" s="57"/>
      <c r="P311" s="8"/>
      <c r="Q311" s="8"/>
      <c r="R311" s="8"/>
      <c r="S311" s="8"/>
      <c r="T311" s="8"/>
      <c r="U311" s="8"/>
      <c r="V311" s="8"/>
      <c r="W311" s="8"/>
    </row>
    <row r="312" spans="2:23" x14ac:dyDescent="0.25">
      <c r="E312" s="57">
        <v>26</v>
      </c>
      <c r="F312" s="8" t="s">
        <v>801</v>
      </c>
      <c r="G312" s="8"/>
      <c r="H312" s="8"/>
      <c r="I312" s="8"/>
      <c r="J312" s="8"/>
      <c r="K312" s="8"/>
      <c r="L312" s="8"/>
      <c r="M312" s="33"/>
      <c r="N312" s="8"/>
      <c r="O312" s="57"/>
      <c r="P312" s="8"/>
      <c r="Q312" s="8"/>
      <c r="R312" s="8"/>
      <c r="S312" s="8"/>
      <c r="T312" s="33"/>
      <c r="U312" s="8"/>
      <c r="V312" s="8"/>
      <c r="W312" s="8"/>
    </row>
    <row r="313" spans="2:23" x14ac:dyDescent="0.25">
      <c r="B313" t="s">
        <v>138</v>
      </c>
      <c r="C313" t="s">
        <v>661</v>
      </c>
      <c r="E313" s="57">
        <v>27</v>
      </c>
      <c r="F313" s="8" t="s">
        <v>802</v>
      </c>
      <c r="G313" s="8"/>
      <c r="H313" s="8"/>
      <c r="I313" s="8">
        <f>+INDEX('2025 Billing Determinants'!B:B,MATCH('2027 GSD Rate Class E-13c'!B313,'2025 Billing Determinants'!A:A,0))</f>
        <v>0</v>
      </c>
      <c r="J313" s="8" t="s">
        <v>729</v>
      </c>
      <c r="K313" s="47">
        <f>+INDEX('2026 Base Rates'!E:E,MATCH('2027 GSD Rate Class E-13c'!C313,'2026 Base Rates'!D:D,0))</f>
        <v>-2.1823781439599998</v>
      </c>
      <c r="L313" s="8"/>
      <c r="M313" s="32">
        <f>+I313*K313</f>
        <v>0</v>
      </c>
      <c r="N313" s="8"/>
      <c r="O313" s="57"/>
      <c r="P313" s="8">
        <f>+INDEX('2025 Billing Determinants'!B:B,MATCH('2027 GSD Rate Class E-13c'!B313,'2025 Billing Determinants'!A:A,0))</f>
        <v>0</v>
      </c>
      <c r="Q313" s="32" t="s">
        <v>729</v>
      </c>
      <c r="R313" s="47">
        <f t="shared" ref="R313:R316" si="106">+K313*(1+$C$7)</f>
        <v>-2.2702385443084814</v>
      </c>
      <c r="S313" s="8"/>
      <c r="T313" s="32">
        <f>+P313*R313</f>
        <v>0</v>
      </c>
      <c r="U313" s="8"/>
      <c r="V313" s="32">
        <f t="shared" ref="V313:V317" si="107">+T313-M313</f>
        <v>0</v>
      </c>
      <c r="W313" s="41">
        <f t="shared" ref="W313:W317" si="108">+IF(V313=0,0,(T313-M313)/M313)</f>
        <v>0</v>
      </c>
    </row>
    <row r="314" spans="2:23" x14ac:dyDescent="0.25">
      <c r="B314" t="s">
        <v>139</v>
      </c>
      <c r="C314" t="s">
        <v>658</v>
      </c>
      <c r="E314" s="57">
        <v>28</v>
      </c>
      <c r="F314" s="8" t="s">
        <v>803</v>
      </c>
      <c r="G314" s="8"/>
      <c r="H314" s="8"/>
      <c r="I314" s="8">
        <f>+INDEX('2025 Billing Determinants'!B:B,MATCH('2027 GSD Rate Class E-13c'!B314,'2025 Billing Determinants'!A:A,0))</f>
        <v>0</v>
      </c>
      <c r="J314" s="8" t="s">
        <v>729</v>
      </c>
      <c r="K314" s="47">
        <f>+INDEX('2026 Base Rates'!E:E,MATCH('2027 GSD Rate Class E-13c'!C314,'2026 Base Rates'!D:D,0))</f>
        <v>-2.6591112336599996</v>
      </c>
      <c r="L314" s="8"/>
      <c r="M314" s="32">
        <f t="shared" ref="M314:M316" si="109">+I314*K314</f>
        <v>0</v>
      </c>
      <c r="N314" s="8"/>
      <c r="O314" s="57"/>
      <c r="P314" s="8">
        <f>+INDEX('2025 Billing Determinants'!B:B,MATCH('2027 GSD Rate Class E-13c'!B314,'2025 Billing Determinants'!A:A,0))</f>
        <v>0</v>
      </c>
      <c r="Q314" s="32" t="s">
        <v>729</v>
      </c>
      <c r="R314" s="47">
        <f t="shared" si="106"/>
        <v>-2.7661644399098484</v>
      </c>
      <c r="S314" s="8"/>
      <c r="T314" s="32">
        <f t="shared" ref="T314:T316" si="110">+P314*R314</f>
        <v>0</v>
      </c>
      <c r="U314" s="8"/>
      <c r="V314" s="32">
        <f t="shared" si="107"/>
        <v>0</v>
      </c>
      <c r="W314" s="41">
        <f t="shared" si="108"/>
        <v>0</v>
      </c>
    </row>
    <row r="315" spans="2:23" x14ac:dyDescent="0.25">
      <c r="B315" t="s">
        <v>199</v>
      </c>
      <c r="C315" t="s">
        <v>659</v>
      </c>
      <c r="E315" s="57">
        <v>29</v>
      </c>
      <c r="F315" s="8" t="s">
        <v>746</v>
      </c>
      <c r="G315" s="8"/>
      <c r="H315" s="8"/>
      <c r="I315" s="8">
        <f>+INDEX('2025 Billing Determinants'!B:B,MATCH('2027 GSD Rate Class E-13c'!B315,'2025 Billing Determinants'!A:A,0))</f>
        <v>0</v>
      </c>
      <c r="J315" s="32" t="s">
        <v>729</v>
      </c>
      <c r="K315" s="47">
        <f>+INDEX('2026 Base Rates'!E:E,MATCH('2027 GSD Rate Class E-13c'!C315,'2026 Base Rates'!D:D,0))</f>
        <v>-2.1823781439599998</v>
      </c>
      <c r="L315" s="8"/>
      <c r="M315" s="32">
        <f t="shared" si="109"/>
        <v>0</v>
      </c>
      <c r="N315" s="8"/>
      <c r="O315" s="57"/>
      <c r="P315" s="8">
        <f>+INDEX('2025 Billing Determinants'!B:B,MATCH('2027 GSD Rate Class E-13c'!B315,'2025 Billing Determinants'!A:A,0))</f>
        <v>0</v>
      </c>
      <c r="Q315" s="32" t="s">
        <v>729</v>
      </c>
      <c r="R315" s="47">
        <f t="shared" si="106"/>
        <v>-2.2702385443084814</v>
      </c>
      <c r="S315" s="8"/>
      <c r="T315" s="32">
        <f t="shared" si="110"/>
        <v>0</v>
      </c>
      <c r="U315" s="8"/>
      <c r="V315" s="32">
        <f t="shared" si="107"/>
        <v>0</v>
      </c>
      <c r="W315" s="41">
        <f t="shared" si="108"/>
        <v>0</v>
      </c>
    </row>
    <row r="316" spans="2:23" x14ac:dyDescent="0.25">
      <c r="B316" t="s">
        <v>200</v>
      </c>
      <c r="C316" t="s">
        <v>660</v>
      </c>
      <c r="E316" s="57">
        <v>30</v>
      </c>
      <c r="F316" s="8" t="s">
        <v>769</v>
      </c>
      <c r="G316" s="8"/>
      <c r="H316" s="8"/>
      <c r="I316" s="8">
        <f>+INDEX('2025 Billing Determinants'!B:B,MATCH('2027 GSD Rate Class E-13c'!B316,'2025 Billing Determinants'!A:A,0))</f>
        <v>0</v>
      </c>
      <c r="J316" s="32" t="s">
        <v>729</v>
      </c>
      <c r="K316" s="47">
        <f>+INDEX('2026 Base Rates'!E:E,MATCH('2027 GSD Rate Class E-13c'!C316,'2026 Base Rates'!D:D,0))</f>
        <v>-2.6591112336599996</v>
      </c>
      <c r="L316" s="8"/>
      <c r="M316" s="32">
        <f t="shared" si="109"/>
        <v>0</v>
      </c>
      <c r="N316" s="8"/>
      <c r="O316" s="57"/>
      <c r="P316" s="8">
        <f>+INDEX('2025 Billing Determinants'!B:B,MATCH('2027 GSD Rate Class E-13c'!B316,'2025 Billing Determinants'!A:A,0))</f>
        <v>0</v>
      </c>
      <c r="Q316" s="32" t="s">
        <v>729</v>
      </c>
      <c r="R316" s="47">
        <f t="shared" si="106"/>
        <v>-2.7661644399098484</v>
      </c>
      <c r="S316" s="8"/>
      <c r="T316" s="32">
        <f t="shared" si="110"/>
        <v>0</v>
      </c>
      <c r="U316" s="8"/>
      <c r="V316" s="32">
        <f t="shared" si="107"/>
        <v>0</v>
      </c>
      <c r="W316" s="41">
        <f t="shared" si="108"/>
        <v>0</v>
      </c>
    </row>
    <row r="317" spans="2:23" x14ac:dyDescent="0.25">
      <c r="E317" s="57">
        <v>31</v>
      </c>
      <c r="F317" s="31" t="s">
        <v>747</v>
      </c>
      <c r="G317" s="35"/>
      <c r="H317" s="8"/>
      <c r="I317" s="210">
        <f>+SUM(I307:I310,I313:I316)</f>
        <v>0</v>
      </c>
      <c r="J317" s="32" t="s">
        <v>729</v>
      </c>
      <c r="K317" s="32"/>
      <c r="L317" s="32"/>
      <c r="M317" s="101">
        <f>+SUM(M307:M310,M313:M316)</f>
        <v>0</v>
      </c>
      <c r="N317" s="32"/>
      <c r="O317" s="42"/>
      <c r="P317" s="210">
        <f>+SUM(P307:P310,P313:P316)</f>
        <v>0</v>
      </c>
      <c r="Q317" s="32" t="s">
        <v>729</v>
      </c>
      <c r="R317" s="32"/>
      <c r="S317" s="32"/>
      <c r="T317" s="101">
        <f>+SUM(T307:T310,T313:T316)</f>
        <v>0</v>
      </c>
      <c r="U317" s="8"/>
      <c r="V317" s="32">
        <f t="shared" si="107"/>
        <v>0</v>
      </c>
      <c r="W317" s="41">
        <f t="shared" si="108"/>
        <v>0</v>
      </c>
    </row>
    <row r="318" spans="2:23" x14ac:dyDescent="0.25">
      <c r="E318" s="57">
        <v>32</v>
      </c>
      <c r="F318" s="8"/>
      <c r="G318" s="8"/>
      <c r="H318" s="8"/>
      <c r="I318" s="49"/>
      <c r="J318" s="8"/>
      <c r="K318" s="8"/>
      <c r="L318" s="8"/>
      <c r="M318" s="49"/>
      <c r="N318" s="8"/>
      <c r="O318" s="57"/>
      <c r="P318" s="49"/>
      <c r="Q318" s="8"/>
      <c r="R318" s="8"/>
      <c r="S318" s="8"/>
      <c r="T318" s="49"/>
      <c r="U318" s="8"/>
      <c r="V318" s="8"/>
      <c r="W318" s="43"/>
    </row>
    <row r="319" spans="2:23" x14ac:dyDescent="0.25">
      <c r="E319" s="57">
        <v>33</v>
      </c>
      <c r="F319" s="8"/>
      <c r="G319" s="8"/>
      <c r="H319" s="8"/>
      <c r="I319" s="49"/>
      <c r="J319" s="8"/>
      <c r="K319" s="8"/>
      <c r="L319" s="8"/>
      <c r="M319" s="49"/>
      <c r="N319" s="8"/>
      <c r="O319" s="57"/>
      <c r="P319" s="49"/>
      <c r="Q319" s="8"/>
      <c r="R319" s="8"/>
      <c r="S319" s="8"/>
      <c r="T319" s="49"/>
      <c r="U319" s="8"/>
      <c r="V319" s="8"/>
      <c r="W319" s="43"/>
    </row>
    <row r="320" spans="2:23" x14ac:dyDescent="0.25">
      <c r="E320" s="57">
        <v>34</v>
      </c>
      <c r="F320" s="8"/>
      <c r="G320" s="8"/>
      <c r="H320" s="8"/>
      <c r="I320" s="49"/>
      <c r="J320" s="8"/>
      <c r="K320" s="8"/>
      <c r="L320" s="8"/>
      <c r="M320" s="49"/>
      <c r="N320" s="8"/>
      <c r="O320" s="57"/>
      <c r="P320" s="49"/>
      <c r="Q320" s="8"/>
      <c r="R320" s="8"/>
      <c r="S320" s="8"/>
      <c r="T320" s="49"/>
      <c r="U320" s="8"/>
      <c r="V320" s="8"/>
      <c r="W320" s="43"/>
    </row>
    <row r="321" spans="5:23" x14ac:dyDescent="0.25">
      <c r="E321" s="57">
        <v>35</v>
      </c>
      <c r="F321" s="8"/>
      <c r="G321" s="8"/>
      <c r="H321" s="8"/>
      <c r="I321" s="49"/>
      <c r="J321" s="8"/>
      <c r="K321" s="8"/>
      <c r="L321" s="8"/>
      <c r="M321" s="49"/>
      <c r="N321" s="8"/>
      <c r="O321" s="57"/>
      <c r="P321" s="49"/>
      <c r="Q321" s="8"/>
      <c r="R321" s="8"/>
      <c r="S321" s="8"/>
      <c r="T321" s="49"/>
      <c r="U321" s="8"/>
      <c r="V321" s="8"/>
      <c r="W321" s="43"/>
    </row>
    <row r="322" spans="5:23" x14ac:dyDescent="0.25">
      <c r="E322" s="57">
        <v>36</v>
      </c>
      <c r="F322" s="8"/>
      <c r="G322" s="8"/>
      <c r="H322" s="8"/>
      <c r="I322" s="49"/>
      <c r="J322" s="8"/>
      <c r="K322" s="8"/>
      <c r="L322" s="8"/>
      <c r="M322" s="49"/>
      <c r="N322" s="8"/>
      <c r="O322" s="57"/>
      <c r="P322" s="49"/>
      <c r="Q322" s="8"/>
      <c r="R322" s="8"/>
      <c r="S322" s="8"/>
      <c r="T322" s="49"/>
      <c r="U322" s="8"/>
      <c r="V322" s="8"/>
      <c r="W322" s="43"/>
    </row>
    <row r="323" spans="5:23" x14ac:dyDescent="0.25">
      <c r="E323" s="57">
        <v>37</v>
      </c>
      <c r="F323" s="8"/>
      <c r="G323" s="8"/>
      <c r="H323" s="8"/>
      <c r="I323" s="49"/>
      <c r="J323" s="8"/>
      <c r="K323" s="8"/>
      <c r="L323" s="8"/>
      <c r="M323" s="49"/>
      <c r="N323" s="8"/>
      <c r="O323" s="57"/>
      <c r="P323" s="49"/>
      <c r="Q323" s="8"/>
      <c r="R323" s="8"/>
      <c r="S323" s="8"/>
      <c r="T323" s="49"/>
      <c r="U323" s="8"/>
      <c r="V323" s="8"/>
      <c r="W323" s="43"/>
    </row>
    <row r="324" spans="5:23" x14ac:dyDescent="0.25">
      <c r="E324" s="57">
        <v>38</v>
      </c>
      <c r="F324" s="8"/>
      <c r="G324" s="8"/>
      <c r="H324" s="8"/>
      <c r="I324" s="49"/>
      <c r="J324" s="8"/>
      <c r="K324" s="8"/>
      <c r="L324" s="8"/>
      <c r="M324" s="49"/>
      <c r="N324" s="8"/>
      <c r="O324" s="57"/>
      <c r="P324" s="49"/>
      <c r="Q324" s="8"/>
      <c r="R324" s="8"/>
      <c r="S324" s="8"/>
      <c r="T324" s="49"/>
      <c r="U324" s="8"/>
      <c r="V324" s="8"/>
      <c r="W324" s="43"/>
    </row>
    <row r="325" spans="5:23" ht="15.75" thickBot="1" x14ac:dyDescent="0.3">
      <c r="E325" s="58">
        <v>39</v>
      </c>
      <c r="F325" s="9"/>
      <c r="G325" s="9"/>
      <c r="H325" s="9"/>
      <c r="I325" s="9"/>
      <c r="J325" s="9"/>
      <c r="K325" s="9"/>
      <c r="L325" s="9"/>
      <c r="M325" s="9"/>
      <c r="N325" s="9"/>
      <c r="O325" s="58"/>
      <c r="P325" s="9"/>
      <c r="Q325" s="9"/>
      <c r="R325" s="9"/>
      <c r="S325" s="9"/>
      <c r="T325" s="9"/>
      <c r="U325" s="9"/>
      <c r="V325" s="9"/>
      <c r="W325" s="13"/>
    </row>
    <row r="326" spans="5:23" x14ac:dyDescent="0.25"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57"/>
      <c r="P326" s="8"/>
      <c r="Q326" s="8"/>
      <c r="R326" s="8"/>
      <c r="S326" s="8"/>
      <c r="T326" s="8"/>
      <c r="U326" s="8"/>
      <c r="V326" s="8"/>
      <c r="W326" s="8" t="s">
        <v>304</v>
      </c>
    </row>
    <row r="327" spans="5:23" x14ac:dyDescent="0.25">
      <c r="E327" s="8"/>
      <c r="F327" s="8"/>
      <c r="G327" s="8"/>
      <c r="H327" s="8"/>
      <c r="I327" s="8"/>
      <c r="J327" s="8"/>
      <c r="K327" s="8"/>
      <c r="L327" s="378"/>
      <c r="M327" s="378"/>
      <c r="N327" s="378"/>
      <c r="O327" s="378"/>
      <c r="P327" s="378"/>
      <c r="Q327" s="8"/>
      <c r="R327" s="8"/>
      <c r="S327" s="8"/>
      <c r="T327" s="8"/>
      <c r="U327" s="8"/>
      <c r="V327" s="8"/>
      <c r="W327" s="8"/>
    </row>
    <row r="328" spans="5:23" ht="15.75" thickBot="1" x14ac:dyDescent="0.3">
      <c r="E328" s="9" t="s">
        <v>305</v>
      </c>
      <c r="F328" s="9"/>
      <c r="G328" s="9"/>
      <c r="H328" s="9"/>
      <c r="I328" s="9"/>
      <c r="J328" s="9"/>
      <c r="K328" s="9"/>
      <c r="L328" s="379" t="s">
        <v>306</v>
      </c>
      <c r="M328" s="379"/>
      <c r="N328" s="379"/>
      <c r="O328" s="379"/>
      <c r="P328" s="379"/>
      <c r="Q328" s="9"/>
      <c r="R328" s="9"/>
      <c r="S328" s="9"/>
      <c r="T328" s="9"/>
      <c r="U328" s="9"/>
      <c r="V328" s="9"/>
      <c r="W328" s="13" t="s">
        <v>882</v>
      </c>
    </row>
    <row r="329" spans="5:23" x14ac:dyDescent="0.25">
      <c r="E329" s="8" t="s">
        <v>307</v>
      </c>
      <c r="F329" s="8"/>
      <c r="G329" s="8"/>
      <c r="H329" s="8"/>
      <c r="I329" s="8" t="s">
        <v>308</v>
      </c>
      <c r="J329" s="8" t="s">
        <v>910</v>
      </c>
      <c r="K329" s="8"/>
      <c r="L329" s="8"/>
      <c r="M329" s="8"/>
      <c r="N329" s="8"/>
      <c r="O329" s="98"/>
      <c r="P329" s="99"/>
      <c r="Q329" s="8"/>
      <c r="R329" s="8"/>
      <c r="S329" s="99"/>
      <c r="T329" s="99" t="s">
        <v>309</v>
      </c>
      <c r="U329" s="8"/>
      <c r="V329" s="8"/>
      <c r="W329" s="10"/>
    </row>
    <row r="330" spans="5:23" x14ac:dyDescent="0.25">
      <c r="E330" s="8"/>
      <c r="F330" s="8"/>
      <c r="G330" s="8"/>
      <c r="H330" s="8"/>
      <c r="I330" s="8"/>
      <c r="J330" s="8" t="s">
        <v>911</v>
      </c>
      <c r="K330" s="8"/>
      <c r="L330" s="8"/>
      <c r="M330" s="8"/>
      <c r="N330" s="8"/>
      <c r="O330" s="57"/>
      <c r="P330" s="10"/>
      <c r="Q330" s="8"/>
      <c r="R330" s="8"/>
      <c r="S330" s="11"/>
      <c r="T330" s="117" t="s">
        <v>916</v>
      </c>
      <c r="U330" s="116" t="s">
        <v>1512</v>
      </c>
      <c r="V330" s="8"/>
      <c r="W330" s="11"/>
    </row>
    <row r="331" spans="5:23" x14ac:dyDescent="0.25">
      <c r="E331" s="8" t="s">
        <v>310</v>
      </c>
      <c r="F331" s="8"/>
      <c r="G331" s="8"/>
      <c r="H331" s="8"/>
      <c r="I331" s="8"/>
      <c r="J331" s="8" t="s">
        <v>912</v>
      </c>
      <c r="K331" s="8"/>
      <c r="L331" s="8"/>
      <c r="M331" s="8"/>
      <c r="N331" s="8"/>
      <c r="O331" s="57"/>
      <c r="P331" s="10"/>
      <c r="Q331" s="11"/>
      <c r="R331" s="8"/>
      <c r="S331" s="8"/>
      <c r="T331" s="265"/>
      <c r="U331" s="116"/>
      <c r="V331" s="8"/>
      <c r="W331" s="11"/>
    </row>
    <row r="332" spans="5:23" x14ac:dyDescent="0.25">
      <c r="E332" s="8"/>
      <c r="F332" s="8"/>
      <c r="G332" s="8"/>
      <c r="H332" s="8"/>
      <c r="I332" s="8"/>
      <c r="J332" s="8" t="s">
        <v>913</v>
      </c>
      <c r="K332" s="8"/>
      <c r="L332" s="8"/>
      <c r="M332" s="8"/>
      <c r="N332" s="8"/>
      <c r="O332" s="57"/>
      <c r="P332" s="10"/>
      <c r="Q332" s="11"/>
      <c r="R332" s="8"/>
      <c r="S332" s="8"/>
      <c r="T332" s="265"/>
      <c r="U332" s="116"/>
      <c r="V332" s="8"/>
      <c r="W332" s="11"/>
    </row>
    <row r="333" spans="5:23" x14ac:dyDescent="0.25">
      <c r="E333" s="8"/>
      <c r="F333" s="8"/>
      <c r="G333" s="11"/>
      <c r="H333" s="8"/>
      <c r="I333" s="8"/>
      <c r="J333" s="8" t="s">
        <v>914</v>
      </c>
      <c r="K333" s="8"/>
      <c r="L333" s="12"/>
      <c r="M333" s="12"/>
      <c r="N333" s="12"/>
      <c r="O333" s="57"/>
      <c r="P333" s="8"/>
      <c r="Q333" s="8"/>
      <c r="R333" s="8"/>
      <c r="S333" s="8"/>
      <c r="T333" s="265"/>
      <c r="V333" s="8"/>
      <c r="W333" s="8"/>
    </row>
    <row r="334" spans="5:23" ht="15.75" thickBot="1" x14ac:dyDescent="0.3">
      <c r="E334" s="9" t="s">
        <v>1292</v>
      </c>
      <c r="F334" s="9"/>
      <c r="G334" s="13"/>
      <c r="H334" s="14"/>
      <c r="I334" s="14"/>
      <c r="J334" s="15" t="s">
        <v>915</v>
      </c>
      <c r="K334" s="15"/>
      <c r="L334" s="14"/>
      <c r="M334" s="14"/>
      <c r="N334" s="14"/>
      <c r="O334" s="14"/>
      <c r="P334" s="14"/>
      <c r="Q334" s="14"/>
      <c r="R334" s="15"/>
      <c r="S334" s="14"/>
      <c r="T334" s="14"/>
      <c r="U334" s="114" t="s">
        <v>1519</v>
      </c>
      <c r="V334" s="14"/>
      <c r="W334" s="14"/>
    </row>
    <row r="335" spans="5:23" x14ac:dyDescent="0.25">
      <c r="E335" s="8"/>
      <c r="F335" s="8"/>
      <c r="G335" s="8"/>
      <c r="H335" s="8"/>
      <c r="I335" s="12"/>
      <c r="J335" s="8"/>
      <c r="K335" s="12"/>
      <c r="L335" s="16"/>
      <c r="M335" s="12"/>
      <c r="N335" s="8"/>
      <c r="O335" s="12"/>
      <c r="P335" s="8"/>
      <c r="Q335" s="16"/>
      <c r="R335" s="12"/>
      <c r="S335" s="8"/>
      <c r="T335" s="8"/>
      <c r="U335" s="8"/>
      <c r="V335" s="8"/>
      <c r="W335" s="8"/>
    </row>
    <row r="336" spans="5:23" x14ac:dyDescent="0.25">
      <c r="E336" s="8"/>
      <c r="F336" s="8"/>
      <c r="G336" s="8"/>
      <c r="H336" s="8"/>
      <c r="I336" s="16"/>
      <c r="J336" s="8"/>
      <c r="K336" s="8"/>
      <c r="L336" s="16"/>
      <c r="M336" s="8"/>
      <c r="N336" s="8"/>
      <c r="O336" s="12"/>
      <c r="P336" s="8"/>
      <c r="Q336" s="16"/>
      <c r="R336" s="8"/>
      <c r="S336" s="8"/>
      <c r="T336" s="8"/>
      <c r="U336" s="8"/>
      <c r="V336" s="8"/>
      <c r="W336" s="8"/>
    </row>
    <row r="337" spans="1:23" x14ac:dyDescent="0.25">
      <c r="E337" s="8"/>
      <c r="F337" s="8"/>
      <c r="G337" s="8"/>
      <c r="H337" s="8"/>
      <c r="I337" s="8"/>
      <c r="J337" s="16"/>
      <c r="K337" s="16"/>
      <c r="L337" s="17"/>
      <c r="M337" s="17" t="s">
        <v>311</v>
      </c>
      <c r="N337" s="12"/>
      <c r="O337" s="18" t="s">
        <v>395</v>
      </c>
      <c r="P337" s="16"/>
      <c r="Q337" s="8"/>
      <c r="R337" s="16"/>
      <c r="S337" s="16"/>
      <c r="T337" s="16"/>
      <c r="U337" s="16"/>
      <c r="V337" s="16"/>
      <c r="W337" s="8"/>
    </row>
    <row r="338" spans="1:23" x14ac:dyDescent="0.25">
      <c r="E338" s="8"/>
      <c r="F338" s="8"/>
      <c r="G338" s="8"/>
      <c r="H338" s="8"/>
      <c r="I338" s="8"/>
      <c r="J338" s="16"/>
      <c r="K338" s="16"/>
      <c r="L338" s="16"/>
      <c r="M338" s="16"/>
      <c r="N338" s="16"/>
      <c r="O338" s="12"/>
      <c r="P338" s="16"/>
      <c r="Q338" s="16"/>
      <c r="R338" s="16"/>
      <c r="S338" s="16"/>
      <c r="T338" s="16"/>
      <c r="U338" s="16"/>
      <c r="V338" s="16"/>
      <c r="W338" s="16"/>
    </row>
    <row r="339" spans="1:23" x14ac:dyDescent="0.25">
      <c r="E339" s="57" t="s">
        <v>313</v>
      </c>
      <c r="F339" s="196" t="s">
        <v>314</v>
      </c>
      <c r="G339" s="20"/>
      <c r="H339" s="21"/>
      <c r="I339" s="22"/>
      <c r="J339" s="22"/>
      <c r="K339" s="23" t="s">
        <v>315</v>
      </c>
      <c r="L339" s="22"/>
      <c r="M339" s="22"/>
      <c r="N339" s="20"/>
      <c r="O339" s="24"/>
      <c r="P339" s="22"/>
      <c r="Q339" s="23"/>
      <c r="R339" s="23" t="s">
        <v>316</v>
      </c>
      <c r="S339" s="22"/>
      <c r="T339" s="22"/>
      <c r="U339" s="20"/>
      <c r="V339" s="25" t="s">
        <v>317</v>
      </c>
      <c r="W339" s="25" t="s">
        <v>318</v>
      </c>
    </row>
    <row r="340" spans="1:23" ht="15.75" thickBot="1" x14ac:dyDescent="0.3">
      <c r="A340" s="85" t="s">
        <v>809</v>
      </c>
      <c r="B340" s="85" t="s">
        <v>551</v>
      </c>
      <c r="C340" s="85" t="s">
        <v>552</v>
      </c>
      <c r="E340" s="58" t="s">
        <v>319</v>
      </c>
      <c r="F340" s="192" t="s">
        <v>320</v>
      </c>
      <c r="G340" s="27"/>
      <c r="H340" s="9"/>
      <c r="I340" s="58" t="s">
        <v>321</v>
      </c>
      <c r="J340" s="28"/>
      <c r="K340" s="28" t="s">
        <v>322</v>
      </c>
      <c r="L340" s="28"/>
      <c r="M340" s="28" t="s">
        <v>323</v>
      </c>
      <c r="N340" s="28"/>
      <c r="O340" s="28"/>
      <c r="P340" s="28" t="s">
        <v>321</v>
      </c>
      <c r="Q340" s="28"/>
      <c r="R340" s="28" t="s">
        <v>322</v>
      </c>
      <c r="S340" s="28"/>
      <c r="T340" s="28" t="s">
        <v>323</v>
      </c>
      <c r="U340" s="27"/>
      <c r="V340" s="29" t="s">
        <v>324</v>
      </c>
      <c r="W340" s="29" t="s">
        <v>325</v>
      </c>
    </row>
    <row r="341" spans="1:23" x14ac:dyDescent="0.25">
      <c r="E341" s="57">
        <v>1</v>
      </c>
      <c r="F341" s="380" t="s">
        <v>804</v>
      </c>
      <c r="G341" s="380"/>
      <c r="H341" s="380"/>
      <c r="I341" s="8"/>
      <c r="J341" s="35"/>
      <c r="K341" s="35"/>
      <c r="L341" s="35"/>
      <c r="M341" s="35"/>
      <c r="N341" s="31"/>
      <c r="O341" s="24"/>
      <c r="P341" s="31"/>
      <c r="Q341" s="35"/>
      <c r="R341" s="35"/>
      <c r="S341" s="35"/>
      <c r="T341" s="35"/>
      <c r="U341" s="35"/>
      <c r="V341" s="35"/>
      <c r="W341" s="35"/>
    </row>
    <row r="342" spans="1:23" x14ac:dyDescent="0.25">
      <c r="E342" s="57">
        <v>2</v>
      </c>
      <c r="F342" s="8"/>
      <c r="G342" s="8"/>
      <c r="H342" s="8"/>
      <c r="I342" s="8"/>
      <c r="J342" s="8"/>
      <c r="K342" s="8"/>
      <c r="L342" s="8"/>
      <c r="M342" s="8"/>
      <c r="N342" s="8"/>
      <c r="O342" s="57"/>
      <c r="P342" s="8"/>
      <c r="Q342" s="8"/>
      <c r="R342" s="8"/>
      <c r="S342" s="8"/>
      <c r="T342" s="8"/>
      <c r="U342" s="8"/>
      <c r="V342" s="8"/>
      <c r="W342" s="8"/>
    </row>
    <row r="343" spans="1:23" x14ac:dyDescent="0.25">
      <c r="E343" s="57">
        <v>3</v>
      </c>
      <c r="F343" s="31" t="s">
        <v>766</v>
      </c>
      <c r="G343" s="8"/>
      <c r="H343" s="8"/>
      <c r="I343" s="49"/>
      <c r="J343" s="32"/>
      <c r="K343" s="32"/>
      <c r="L343" s="32"/>
      <c r="M343" s="32"/>
      <c r="N343" s="32"/>
      <c r="O343" s="42"/>
      <c r="P343" s="49"/>
      <c r="Q343" s="32"/>
      <c r="R343" s="32"/>
      <c r="S343" s="32"/>
      <c r="T343" s="32"/>
      <c r="U343" s="8"/>
      <c r="V343" s="8"/>
      <c r="W343" s="43"/>
    </row>
    <row r="344" spans="1:23" x14ac:dyDescent="0.25">
      <c r="B344" t="s">
        <v>105</v>
      </c>
      <c r="C344" t="s">
        <v>662</v>
      </c>
      <c r="E344" s="57">
        <v>4</v>
      </c>
      <c r="F344" s="193" t="s">
        <v>772</v>
      </c>
      <c r="G344" s="31"/>
      <c r="H344" s="8"/>
      <c r="I344" s="8">
        <f>+INDEX('2025 Billing Determinants'!B:B,MATCH('2027 GSD Rate Class E-13c'!B344,'2025 Billing Determinants'!A:A,0))</f>
        <v>0</v>
      </c>
      <c r="J344" s="32" t="s">
        <v>729</v>
      </c>
      <c r="K344" s="47">
        <f>+INDEX('2026 Base Rates'!E:E,MATCH('2027 GSD Rate Class E-13c'!C344,'2026 Base Rates'!D:D,0))</f>
        <v>1.08059500332</v>
      </c>
      <c r="L344" s="32"/>
      <c r="M344" s="32">
        <f>+I344*K344</f>
        <v>0</v>
      </c>
      <c r="N344" s="32"/>
      <c r="O344" s="42"/>
      <c r="P344" s="8">
        <f>+INDEX('2025 Billing Determinants'!B:B,MATCH('2027 GSD Rate Class E-13c'!B344,'2025 Billing Determinants'!A:A,0))</f>
        <v>0</v>
      </c>
      <c r="Q344" s="32" t="s">
        <v>729</v>
      </c>
      <c r="R344" s="47">
        <f t="shared" ref="R344:R349" si="111">+K344*(1+$C$7)</f>
        <v>1.1240986966964326</v>
      </c>
      <c r="S344" s="32"/>
      <c r="T344" s="32">
        <f>+P344*R344</f>
        <v>0</v>
      </c>
      <c r="U344" s="8"/>
      <c r="V344" s="32">
        <f t="shared" ref="V344:V350" si="112">+T344-M344</f>
        <v>0</v>
      </c>
      <c r="W344" s="41">
        <f t="shared" ref="W344:W350" si="113">+IF(V344=0,0,(T344-M344)/M344)</f>
        <v>0</v>
      </c>
    </row>
    <row r="345" spans="1:23" x14ac:dyDescent="0.25">
      <c r="B345" t="s">
        <v>106</v>
      </c>
      <c r="C345" t="s">
        <v>663</v>
      </c>
      <c r="E345" s="57">
        <v>5</v>
      </c>
      <c r="F345" s="193" t="s">
        <v>745</v>
      </c>
      <c r="G345" s="31"/>
      <c r="H345" s="8"/>
      <c r="I345" s="8">
        <f>+INDEX('2025 Billing Determinants'!B:B,MATCH('2027 GSD Rate Class E-13c'!B345,'2025 Billing Determinants'!A:A,0))</f>
        <v>0</v>
      </c>
      <c r="J345" s="32" t="s">
        <v>729</v>
      </c>
      <c r="K345" s="47">
        <f>+INDEX('2026 Base Rates'!E:E,MATCH('2027 GSD Rate Class E-13c'!C345,'2026 Base Rates'!D:D,0))</f>
        <v>1.08059500332</v>
      </c>
      <c r="L345" s="32"/>
      <c r="M345" s="32">
        <f t="shared" ref="M345:M349" si="114">+I345*K345</f>
        <v>0</v>
      </c>
      <c r="N345" s="32"/>
      <c r="O345" s="42"/>
      <c r="P345" s="8">
        <f>+INDEX('2025 Billing Determinants'!B:B,MATCH('2027 GSD Rate Class E-13c'!B345,'2025 Billing Determinants'!A:A,0))</f>
        <v>0</v>
      </c>
      <c r="Q345" s="32" t="s">
        <v>729</v>
      </c>
      <c r="R345" s="47">
        <f t="shared" si="111"/>
        <v>1.1240986966964326</v>
      </c>
      <c r="S345" s="32"/>
      <c r="T345" s="32">
        <f t="shared" ref="T345:T349" si="115">+P345*R345</f>
        <v>0</v>
      </c>
      <c r="U345" s="8"/>
      <c r="V345" s="32">
        <f t="shared" si="112"/>
        <v>0</v>
      </c>
      <c r="W345" s="41">
        <f t="shared" si="113"/>
        <v>0</v>
      </c>
    </row>
    <row r="346" spans="1:23" x14ac:dyDescent="0.25">
      <c r="B346" t="s">
        <v>107</v>
      </c>
      <c r="C346" t="s">
        <v>664</v>
      </c>
      <c r="E346" s="57">
        <v>6</v>
      </c>
      <c r="F346" s="193" t="s">
        <v>768</v>
      </c>
      <c r="G346" s="8"/>
      <c r="H346" s="8"/>
      <c r="I346" s="8">
        <f>+INDEX('2025 Billing Determinants'!B:B,MATCH('2027 GSD Rate Class E-13c'!B346,'2025 Billing Determinants'!A:A,0))</f>
        <v>0</v>
      </c>
      <c r="J346" s="32" t="s">
        <v>729</v>
      </c>
      <c r="K346" s="47">
        <f>+INDEX('2026 Base Rates'!E:E,MATCH('2027 GSD Rate Class E-13c'!C346,'2026 Base Rates'!D:D,0))</f>
        <v>1.08059500332</v>
      </c>
      <c r="L346" s="32"/>
      <c r="M346" s="32">
        <f t="shared" si="114"/>
        <v>0</v>
      </c>
      <c r="N346" s="32"/>
      <c r="O346" s="42"/>
      <c r="P346" s="8">
        <f>+INDEX('2025 Billing Determinants'!B:B,MATCH('2027 GSD Rate Class E-13c'!B346,'2025 Billing Determinants'!A:A,0))</f>
        <v>0</v>
      </c>
      <c r="Q346" s="32" t="s">
        <v>729</v>
      </c>
      <c r="R346" s="47">
        <f t="shared" si="111"/>
        <v>1.1240986966964326</v>
      </c>
      <c r="S346" s="32"/>
      <c r="T346" s="32">
        <f t="shared" si="115"/>
        <v>0</v>
      </c>
      <c r="U346" s="8"/>
      <c r="V346" s="32">
        <f t="shared" si="112"/>
        <v>0</v>
      </c>
      <c r="W346" s="41">
        <f t="shared" si="113"/>
        <v>0</v>
      </c>
    </row>
    <row r="347" spans="1:23" x14ac:dyDescent="0.25">
      <c r="B347" t="s">
        <v>146</v>
      </c>
      <c r="C347" t="s">
        <v>665</v>
      </c>
      <c r="E347" s="57">
        <v>7</v>
      </c>
      <c r="F347" s="8" t="s">
        <v>773</v>
      </c>
      <c r="G347" s="8"/>
      <c r="H347" s="8"/>
      <c r="I347" s="8">
        <f>+INDEX('2025 Billing Determinants'!B:B,MATCH('2027 GSD Rate Class E-13c'!B347,'2025 Billing Determinants'!A:A,0))</f>
        <v>0</v>
      </c>
      <c r="J347" s="32" t="s">
        <v>729</v>
      </c>
      <c r="K347" s="47">
        <f>+INDEX('2026 Base Rates'!E:E,MATCH('2027 GSD Rate Class E-13c'!C347,'2026 Base Rates'!D:D,0))</f>
        <v>1.08059500332</v>
      </c>
      <c r="L347" s="32"/>
      <c r="M347" s="32">
        <f t="shared" si="114"/>
        <v>0</v>
      </c>
      <c r="N347" s="32"/>
      <c r="O347" s="42"/>
      <c r="P347" s="8">
        <f>+INDEX('2025 Billing Determinants'!B:B,MATCH('2027 GSD Rate Class E-13c'!B347,'2025 Billing Determinants'!A:A,0))</f>
        <v>0</v>
      </c>
      <c r="Q347" s="32" t="s">
        <v>729</v>
      </c>
      <c r="R347" s="47">
        <f t="shared" si="111"/>
        <v>1.1240986966964326</v>
      </c>
      <c r="S347" s="32"/>
      <c r="T347" s="32">
        <f t="shared" si="115"/>
        <v>0</v>
      </c>
      <c r="U347" s="8"/>
      <c r="V347" s="32">
        <f t="shared" si="112"/>
        <v>0</v>
      </c>
      <c r="W347" s="41">
        <f t="shared" si="113"/>
        <v>0</v>
      </c>
    </row>
    <row r="348" spans="1:23" x14ac:dyDescent="0.25">
      <c r="B348" t="s">
        <v>147</v>
      </c>
      <c r="C348" t="s">
        <v>666</v>
      </c>
      <c r="E348" s="57">
        <v>8</v>
      </c>
      <c r="F348" s="8" t="s">
        <v>746</v>
      </c>
      <c r="G348" s="8"/>
      <c r="H348" s="8"/>
      <c r="I348" s="8">
        <f>+INDEX('2025 Billing Determinants'!B:B,MATCH('2027 GSD Rate Class E-13c'!B348,'2025 Billing Determinants'!A:A,0))</f>
        <v>0</v>
      </c>
      <c r="J348" s="32" t="s">
        <v>729</v>
      </c>
      <c r="K348" s="47">
        <f>+INDEX('2026 Base Rates'!E:E,MATCH('2027 GSD Rate Class E-13c'!C348,'2026 Base Rates'!D:D,0))</f>
        <v>1.08059500332</v>
      </c>
      <c r="L348" s="32"/>
      <c r="M348" s="32">
        <f t="shared" si="114"/>
        <v>0</v>
      </c>
      <c r="N348" s="32"/>
      <c r="O348" s="42"/>
      <c r="P348" s="8">
        <f>+INDEX('2025 Billing Determinants'!B:B,MATCH('2027 GSD Rate Class E-13c'!B348,'2025 Billing Determinants'!A:A,0))</f>
        <v>0</v>
      </c>
      <c r="Q348" s="32" t="s">
        <v>729</v>
      </c>
      <c r="R348" s="47">
        <f t="shared" si="111"/>
        <v>1.1240986966964326</v>
      </c>
      <c r="S348" s="32"/>
      <c r="T348" s="32">
        <f t="shared" si="115"/>
        <v>0</v>
      </c>
      <c r="U348" s="8"/>
      <c r="V348" s="32">
        <f t="shared" si="112"/>
        <v>0</v>
      </c>
      <c r="W348" s="41">
        <f t="shared" si="113"/>
        <v>0</v>
      </c>
    </row>
    <row r="349" spans="1:23" x14ac:dyDescent="0.25">
      <c r="B349" t="s">
        <v>148</v>
      </c>
      <c r="C349" t="s">
        <v>667</v>
      </c>
      <c r="E349" s="57">
        <v>9</v>
      </c>
      <c r="F349" s="8" t="s">
        <v>769</v>
      </c>
      <c r="G349" s="8"/>
      <c r="H349" s="8"/>
      <c r="I349" s="206">
        <f>+INDEX('2025 Billing Determinants'!B:B,MATCH('2027 GSD Rate Class E-13c'!B349,'2025 Billing Determinants'!A:A,0))</f>
        <v>0</v>
      </c>
      <c r="J349" s="32" t="s">
        <v>729</v>
      </c>
      <c r="K349" s="47">
        <f>+INDEX('2026 Base Rates'!E:E,MATCH('2027 GSD Rate Class E-13c'!C349,'2026 Base Rates'!D:D,0))</f>
        <v>1.08059500332</v>
      </c>
      <c r="L349" s="8"/>
      <c r="M349" s="32">
        <f t="shared" si="114"/>
        <v>0</v>
      </c>
      <c r="N349" s="8"/>
      <c r="O349" s="57"/>
      <c r="P349" s="206">
        <f>+INDEX('2025 Billing Determinants'!B:B,MATCH('2027 GSD Rate Class E-13c'!B349,'2025 Billing Determinants'!A:A,0))</f>
        <v>0</v>
      </c>
      <c r="Q349" s="32" t="s">
        <v>729</v>
      </c>
      <c r="R349" s="47">
        <f t="shared" si="111"/>
        <v>1.1240986966964326</v>
      </c>
      <c r="S349" s="8"/>
      <c r="T349" s="32">
        <f t="shared" si="115"/>
        <v>0</v>
      </c>
      <c r="U349" s="8"/>
      <c r="V349" s="32">
        <f t="shared" si="112"/>
        <v>0</v>
      </c>
      <c r="W349" s="41">
        <f t="shared" si="113"/>
        <v>0</v>
      </c>
    </row>
    <row r="350" spans="1:23" x14ac:dyDescent="0.25">
      <c r="E350" s="57">
        <v>10</v>
      </c>
      <c r="F350" s="8"/>
      <c r="G350" s="8"/>
      <c r="H350" s="8"/>
      <c r="I350" s="8">
        <f>+SUM(I344:I349)</f>
        <v>0</v>
      </c>
      <c r="J350" s="32" t="s">
        <v>729</v>
      </c>
      <c r="K350" s="8"/>
      <c r="L350" s="8"/>
      <c r="M350" s="209">
        <f>+SUM(M344:M349)</f>
        <v>0</v>
      </c>
      <c r="N350" s="8"/>
      <c r="O350" s="57"/>
      <c r="P350" s="8">
        <f>+SUM(P344:P349)</f>
        <v>0</v>
      </c>
      <c r="Q350" s="32" t="s">
        <v>729</v>
      </c>
      <c r="R350" s="8"/>
      <c r="S350" s="8"/>
      <c r="T350" s="209">
        <f>+SUM(T344:T349)</f>
        <v>0</v>
      </c>
      <c r="U350" s="8"/>
      <c r="V350" s="32">
        <f t="shared" si="112"/>
        <v>0</v>
      </c>
      <c r="W350" s="41">
        <f t="shared" si="113"/>
        <v>0</v>
      </c>
    </row>
    <row r="351" spans="1:23" x14ac:dyDescent="0.25">
      <c r="E351" s="57">
        <v>11</v>
      </c>
      <c r="F351" s="8"/>
      <c r="G351" s="8"/>
      <c r="H351" s="8"/>
      <c r="I351" s="8"/>
      <c r="J351" s="8"/>
      <c r="K351" s="8"/>
      <c r="L351" s="8"/>
      <c r="M351" s="8"/>
      <c r="N351" s="8"/>
      <c r="O351" s="57"/>
      <c r="P351" s="8"/>
      <c r="Q351" s="8"/>
      <c r="R351" s="8"/>
      <c r="S351" s="8"/>
      <c r="T351" s="8"/>
      <c r="U351" s="8"/>
      <c r="V351" s="8"/>
      <c r="W351" s="8"/>
    </row>
    <row r="352" spans="1:23" x14ac:dyDescent="0.25">
      <c r="E352" s="57">
        <v>12</v>
      </c>
      <c r="F352" s="31" t="s">
        <v>805</v>
      </c>
      <c r="G352" s="31"/>
      <c r="H352" s="31"/>
      <c r="I352" s="8"/>
      <c r="J352" s="8"/>
      <c r="K352" s="8"/>
      <c r="L352" s="8"/>
      <c r="M352" s="33"/>
      <c r="N352" s="8"/>
      <c r="O352" s="57"/>
      <c r="P352" s="8"/>
      <c r="Q352" s="8"/>
      <c r="R352" s="8"/>
      <c r="S352" s="8"/>
      <c r="T352" s="33"/>
      <c r="U352" s="8"/>
      <c r="V352" s="8"/>
      <c r="W352" s="8"/>
    </row>
    <row r="353" spans="3:23" x14ac:dyDescent="0.25">
      <c r="C353" t="s">
        <v>650</v>
      </c>
      <c r="E353" s="57">
        <v>13</v>
      </c>
      <c r="F353" s="193" t="s">
        <v>745</v>
      </c>
      <c r="G353" s="8"/>
      <c r="H353" s="8"/>
      <c r="I353" s="49">
        <f>+M191+M206+M237+M247+M250+M253+M291+M299+M307+M313+M345</f>
        <v>0</v>
      </c>
      <c r="J353" s="32" t="s">
        <v>806</v>
      </c>
      <c r="K353" s="211">
        <f>+INDEX('2026 Base Rates'!E:E,MATCH('2027 GSD Rate Class E-13c'!C353,'2026 Base Rates'!D:D,0))</f>
        <v>-0.01</v>
      </c>
      <c r="L353" s="8"/>
      <c r="M353" s="32">
        <f>+I353*K353</f>
        <v>0</v>
      </c>
      <c r="N353" s="8"/>
      <c r="O353" s="57"/>
      <c r="P353" s="49">
        <f>+T191+T206+T237+T247+T250+T253+T291+T299+T307+T313+T345</f>
        <v>0</v>
      </c>
      <c r="Q353" s="32" t="s">
        <v>806</v>
      </c>
      <c r="R353" s="211">
        <f>+K353</f>
        <v>-0.01</v>
      </c>
      <c r="S353" s="8"/>
      <c r="T353" s="32">
        <f>+P353*R353</f>
        <v>0</v>
      </c>
      <c r="U353" s="8"/>
      <c r="V353" s="32">
        <f t="shared" ref="V353:V357" si="116">+T353-M353</f>
        <v>0</v>
      </c>
      <c r="W353" s="41">
        <f t="shared" ref="W353:W357" si="117">+IF(V353=0,0,(T353-M353)/M353)</f>
        <v>0</v>
      </c>
    </row>
    <row r="354" spans="3:23" x14ac:dyDescent="0.25">
      <c r="C354" t="s">
        <v>651</v>
      </c>
      <c r="E354" s="57">
        <v>14</v>
      </c>
      <c r="F354" s="193" t="s">
        <v>768</v>
      </c>
      <c r="G354" s="8"/>
      <c r="H354" s="8"/>
      <c r="I354" s="49">
        <f>+M192+M207+M238+M248+M251+M254+M292+M300+M308+M314+M346</f>
        <v>0</v>
      </c>
      <c r="J354" s="32" t="s">
        <v>806</v>
      </c>
      <c r="K354" s="211">
        <f>+INDEX('2026 Base Rates'!E:E,MATCH('2027 GSD Rate Class E-13c'!C354,'2026 Base Rates'!D:D,0))</f>
        <v>-0.02</v>
      </c>
      <c r="L354" s="8"/>
      <c r="M354" s="32">
        <f t="shared" ref="M354:M356" si="118">+I354*K354</f>
        <v>0</v>
      </c>
      <c r="N354" s="8"/>
      <c r="O354" s="57"/>
      <c r="P354" s="49">
        <f>+T192+T207+T238+T248+T251+T254+T292+T300+T308+T314+T346</f>
        <v>0</v>
      </c>
      <c r="Q354" s="32" t="s">
        <v>806</v>
      </c>
      <c r="R354" s="211">
        <f t="shared" ref="R354:R356" si="119">+K354</f>
        <v>-0.02</v>
      </c>
      <c r="S354" s="8"/>
      <c r="T354" s="32">
        <f t="shared" ref="T354:T356" si="120">+P354*R354</f>
        <v>0</v>
      </c>
      <c r="U354" s="8"/>
      <c r="V354" s="32">
        <f t="shared" si="116"/>
        <v>0</v>
      </c>
      <c r="W354" s="41">
        <f t="shared" si="117"/>
        <v>0</v>
      </c>
    </row>
    <row r="355" spans="3:23" x14ac:dyDescent="0.25">
      <c r="C355" t="s">
        <v>652</v>
      </c>
      <c r="E355" s="57">
        <v>15</v>
      </c>
      <c r="F355" s="8" t="s">
        <v>746</v>
      </c>
      <c r="G355" s="8"/>
      <c r="H355" s="8"/>
      <c r="I355" s="49">
        <f>+M194+M197+M209+M212+M240+M243+M256+M259+M262+M294+M302+M309+M315+M348</f>
        <v>0</v>
      </c>
      <c r="J355" s="32" t="s">
        <v>806</v>
      </c>
      <c r="K355" s="211">
        <f>+INDEX('2026 Base Rates'!E:E,MATCH('2027 GSD Rate Class E-13c'!C355,'2026 Base Rates'!D:D,0))</f>
        <v>-0.01</v>
      </c>
      <c r="L355" s="8"/>
      <c r="M355" s="32">
        <f t="shared" si="118"/>
        <v>0</v>
      </c>
      <c r="N355" s="8"/>
      <c r="O355" s="57"/>
      <c r="P355" s="49">
        <f>+T194+T197+T209+T212+T240+T243+T256+T259+T262+T294+T302+T309+T315+T348</f>
        <v>0</v>
      </c>
      <c r="Q355" s="32" t="s">
        <v>806</v>
      </c>
      <c r="R355" s="211">
        <f t="shared" si="119"/>
        <v>-0.01</v>
      </c>
      <c r="S355" s="8"/>
      <c r="T355" s="32">
        <f t="shared" si="120"/>
        <v>0</v>
      </c>
      <c r="U355" s="8"/>
      <c r="V355" s="32">
        <f t="shared" si="116"/>
        <v>0</v>
      </c>
      <c r="W355" s="41">
        <f t="shared" si="117"/>
        <v>0</v>
      </c>
    </row>
    <row r="356" spans="3:23" x14ac:dyDescent="0.25">
      <c r="C356" t="s">
        <v>653</v>
      </c>
      <c r="E356" s="57">
        <v>16</v>
      </c>
      <c r="F356" s="8" t="s">
        <v>769</v>
      </c>
      <c r="G356" s="8"/>
      <c r="H356" s="8"/>
      <c r="I356" s="212">
        <f>+M195+M198+M210+M213+M241+M244+M257+M260+M263+M295+M303+M310+M316+M349</f>
        <v>0</v>
      </c>
      <c r="J356" s="32" t="s">
        <v>806</v>
      </c>
      <c r="K356" s="211">
        <f>+INDEX('2026 Base Rates'!E:E,MATCH('2027 GSD Rate Class E-13c'!C356,'2026 Base Rates'!D:D,0))</f>
        <v>-0.02</v>
      </c>
      <c r="L356" s="8"/>
      <c r="M356" s="32">
        <f t="shared" si="118"/>
        <v>0</v>
      </c>
      <c r="N356" s="8"/>
      <c r="O356" s="57"/>
      <c r="P356" s="212">
        <f>+T195+T198+T210+T213+T241+T244+T257+T260+T263+T295+T303+T310+T316+T349</f>
        <v>0</v>
      </c>
      <c r="Q356" s="32" t="s">
        <v>806</v>
      </c>
      <c r="R356" s="211">
        <f t="shared" si="119"/>
        <v>-0.02</v>
      </c>
      <c r="S356" s="8"/>
      <c r="T356" s="32">
        <f t="shared" si="120"/>
        <v>0</v>
      </c>
      <c r="U356" s="8"/>
      <c r="V356" s="32">
        <f t="shared" si="116"/>
        <v>0</v>
      </c>
      <c r="W356" s="41">
        <f t="shared" si="117"/>
        <v>0</v>
      </c>
    </row>
    <row r="357" spans="3:23" x14ac:dyDescent="0.25">
      <c r="E357" s="57">
        <v>17</v>
      </c>
      <c r="F357" s="31" t="s">
        <v>747</v>
      </c>
      <c r="G357" s="35"/>
      <c r="H357" s="8"/>
      <c r="I357" s="49">
        <f>+SUM(I353:I356)</f>
        <v>0</v>
      </c>
      <c r="J357" s="32" t="s">
        <v>806</v>
      </c>
      <c r="K357" s="32"/>
      <c r="L357" s="32"/>
      <c r="M357" s="101">
        <f>+SUM(M353:M356)</f>
        <v>0</v>
      </c>
      <c r="N357" s="32"/>
      <c r="O357" s="42"/>
      <c r="P357" s="49">
        <f>+SUM(P353:P356)</f>
        <v>0</v>
      </c>
      <c r="Q357" s="32" t="s">
        <v>806</v>
      </c>
      <c r="R357" s="32"/>
      <c r="S357" s="8"/>
      <c r="T357" s="101">
        <f>+SUM(T353:T356)</f>
        <v>0</v>
      </c>
      <c r="U357" s="32"/>
      <c r="V357" s="32">
        <f t="shared" si="116"/>
        <v>0</v>
      </c>
      <c r="W357" s="41">
        <f t="shared" si="117"/>
        <v>0</v>
      </c>
    </row>
    <row r="358" spans="3:23" x14ac:dyDescent="0.25">
      <c r="E358" s="57">
        <v>18</v>
      </c>
      <c r="F358" s="8"/>
      <c r="G358" s="8"/>
      <c r="H358" s="8"/>
      <c r="I358" s="8"/>
      <c r="J358" s="8"/>
      <c r="K358" s="8"/>
      <c r="L358" s="8"/>
      <c r="M358" s="8"/>
      <c r="N358" s="8"/>
      <c r="O358" s="57"/>
      <c r="P358" s="49"/>
      <c r="Q358" s="8"/>
      <c r="R358" s="8"/>
      <c r="S358" s="8"/>
      <c r="T358" s="8"/>
      <c r="U358" s="8"/>
      <c r="V358" s="8"/>
      <c r="W358" s="8"/>
    </row>
    <row r="359" spans="3:23" x14ac:dyDescent="0.25">
      <c r="E359" s="57">
        <v>19</v>
      </c>
      <c r="F359" s="8"/>
      <c r="G359" s="8"/>
      <c r="H359" s="8"/>
      <c r="I359" s="8"/>
      <c r="J359" s="8"/>
      <c r="K359" s="8"/>
      <c r="L359" s="8"/>
      <c r="M359" s="8"/>
      <c r="N359" s="8"/>
      <c r="O359" s="57"/>
      <c r="P359" s="8"/>
      <c r="Q359" s="8"/>
      <c r="R359" s="8"/>
      <c r="S359" s="8"/>
      <c r="T359" s="8"/>
      <c r="U359" s="8"/>
      <c r="V359" s="8"/>
      <c r="W359" s="8"/>
    </row>
    <row r="360" spans="3:23" x14ac:dyDescent="0.25">
      <c r="E360" s="57">
        <v>20</v>
      </c>
      <c r="F360" s="381"/>
      <c r="G360" s="381"/>
      <c r="H360" s="381"/>
      <c r="I360" s="8"/>
      <c r="J360" s="8"/>
      <c r="K360" s="8"/>
      <c r="L360" s="8"/>
      <c r="M360" s="8"/>
      <c r="N360" s="8"/>
      <c r="O360" s="57"/>
      <c r="P360" s="8"/>
      <c r="Q360" s="8"/>
      <c r="R360" s="8"/>
      <c r="S360" s="8"/>
      <c r="T360" s="8"/>
      <c r="U360" s="8"/>
      <c r="V360" s="8"/>
      <c r="W360" s="8"/>
    </row>
    <row r="361" spans="3:23" ht="15.75" thickBot="1" x14ac:dyDescent="0.3">
      <c r="E361" s="57">
        <v>21</v>
      </c>
      <c r="F361" s="31" t="s">
        <v>336</v>
      </c>
      <c r="G361" s="8"/>
      <c r="H361" s="8"/>
      <c r="I361" s="8"/>
      <c r="J361" s="8"/>
      <c r="K361" s="8"/>
      <c r="L361" s="8"/>
      <c r="M361" s="108">
        <f>+M187+M202+M217+M264+M296+M304+M317+M350+M357</f>
        <v>0</v>
      </c>
      <c r="N361" s="32"/>
      <c r="O361" s="42"/>
      <c r="P361" s="32"/>
      <c r="Q361" s="8"/>
      <c r="R361" s="8"/>
      <c r="S361" s="8"/>
      <c r="T361" s="108">
        <f>+T187+T202+T217+T264+T296+T304+T317+T350+T357</f>
        <v>0</v>
      </c>
      <c r="U361" s="8"/>
      <c r="V361" s="32">
        <f t="shared" ref="V361" si="121">+T361-M361</f>
        <v>0</v>
      </c>
      <c r="W361" s="41">
        <f t="shared" ref="W361" si="122">+IF(V361=0,0,(T361-M361)/M361)</f>
        <v>0</v>
      </c>
    </row>
    <row r="362" spans="3:23" ht="15.75" thickTop="1" x14ac:dyDescent="0.25">
      <c r="E362" s="57">
        <v>22</v>
      </c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</row>
    <row r="363" spans="3:23" x14ac:dyDescent="0.25">
      <c r="E363" s="57">
        <v>23</v>
      </c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</row>
    <row r="364" spans="3:23" x14ac:dyDescent="0.25">
      <c r="E364" s="57">
        <v>24</v>
      </c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</row>
    <row r="365" spans="3:23" x14ac:dyDescent="0.25">
      <c r="E365" s="57">
        <v>25</v>
      </c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</row>
    <row r="366" spans="3:23" x14ac:dyDescent="0.25">
      <c r="E366" s="57">
        <v>26</v>
      </c>
      <c r="F366" s="31"/>
      <c r="G366" s="8"/>
      <c r="H366" s="8"/>
      <c r="I366" s="8"/>
      <c r="J366" s="8"/>
      <c r="K366" s="8"/>
      <c r="L366" s="8"/>
      <c r="M366" s="32"/>
      <c r="N366" s="32"/>
      <c r="O366" s="42"/>
      <c r="P366" s="32"/>
      <c r="Q366" s="8"/>
      <c r="R366" s="8"/>
      <c r="S366" s="8"/>
      <c r="T366" s="32"/>
      <c r="U366" s="8"/>
      <c r="V366" s="8"/>
      <c r="W366" s="43"/>
    </row>
    <row r="367" spans="3:23" x14ac:dyDescent="0.25">
      <c r="E367" s="57">
        <v>27</v>
      </c>
      <c r="F367" s="31"/>
      <c r="G367" s="8"/>
      <c r="H367" s="8"/>
      <c r="I367" s="8"/>
      <c r="J367" s="8"/>
      <c r="K367" s="8"/>
      <c r="L367" s="8"/>
      <c r="M367" s="32"/>
      <c r="N367" s="32"/>
      <c r="O367" s="42"/>
      <c r="P367" s="32"/>
      <c r="Q367" s="8"/>
      <c r="R367" s="8"/>
      <c r="S367" s="8"/>
      <c r="T367" s="32"/>
      <c r="U367" s="8"/>
      <c r="V367" s="8"/>
      <c r="W367" s="43"/>
    </row>
    <row r="368" spans="3:23" x14ac:dyDescent="0.25">
      <c r="E368" s="57">
        <v>28</v>
      </c>
      <c r="F368" s="31"/>
      <c r="G368" s="8"/>
      <c r="H368" s="8"/>
      <c r="I368" s="8"/>
      <c r="J368" s="8"/>
      <c r="K368" s="8"/>
      <c r="L368" s="8"/>
      <c r="M368" s="32"/>
      <c r="N368" s="32"/>
      <c r="O368" s="42"/>
      <c r="P368" s="32"/>
      <c r="Q368" s="8"/>
      <c r="R368" s="8"/>
      <c r="S368" s="8"/>
      <c r="T368" s="32"/>
      <c r="U368" s="8"/>
      <c r="V368" s="8"/>
      <c r="W368" s="43"/>
    </row>
    <row r="369" spans="5:23" x14ac:dyDescent="0.25">
      <c r="E369" s="57">
        <v>29</v>
      </c>
      <c r="F369" s="31"/>
      <c r="G369" s="8"/>
      <c r="H369" s="8"/>
      <c r="I369" s="8"/>
      <c r="J369" s="8"/>
      <c r="K369" s="8"/>
      <c r="L369" s="8"/>
      <c r="M369" s="32"/>
      <c r="N369" s="32"/>
      <c r="O369" s="42"/>
      <c r="P369" s="32"/>
      <c r="Q369" s="8"/>
      <c r="R369" s="8"/>
      <c r="S369" s="8"/>
      <c r="T369" s="32"/>
      <c r="U369" s="8"/>
      <c r="V369" s="8"/>
      <c r="W369" s="43"/>
    </row>
    <row r="370" spans="5:23" x14ac:dyDescent="0.25">
      <c r="E370" s="57">
        <v>30</v>
      </c>
      <c r="F370" s="31"/>
      <c r="G370" s="8"/>
      <c r="H370" s="8"/>
      <c r="I370" s="8"/>
      <c r="J370" s="8"/>
      <c r="K370" s="8"/>
      <c r="L370" s="8"/>
      <c r="M370" s="32"/>
      <c r="N370" s="32"/>
      <c r="O370" s="42"/>
      <c r="P370" s="32"/>
      <c r="Q370" s="8"/>
      <c r="R370" s="8"/>
      <c r="S370" s="8"/>
      <c r="T370" s="32"/>
      <c r="U370" s="8"/>
      <c r="V370" s="8"/>
      <c r="W370" s="43"/>
    </row>
    <row r="371" spans="5:23" x14ac:dyDescent="0.25">
      <c r="E371" s="57">
        <v>31</v>
      </c>
      <c r="F371" s="31"/>
      <c r="G371" s="8"/>
      <c r="H371" s="8"/>
      <c r="I371" s="8"/>
      <c r="J371" s="8"/>
      <c r="K371" s="8"/>
      <c r="L371" s="8"/>
      <c r="M371" s="32"/>
      <c r="N371" s="32"/>
      <c r="O371" s="42"/>
      <c r="P371" s="32"/>
      <c r="Q371" s="8"/>
      <c r="R371" s="8"/>
      <c r="S371" s="8"/>
      <c r="T371" s="32"/>
      <c r="U371" s="8"/>
      <c r="V371" s="8"/>
      <c r="W371" s="43"/>
    </row>
    <row r="372" spans="5:23" x14ac:dyDescent="0.25">
      <c r="E372" s="57">
        <v>32</v>
      </c>
      <c r="F372" s="31"/>
      <c r="G372" s="8"/>
      <c r="H372" s="8"/>
      <c r="I372" s="8"/>
      <c r="J372" s="8"/>
      <c r="K372" s="8"/>
      <c r="L372" s="8"/>
      <c r="M372" s="32"/>
      <c r="N372" s="32"/>
      <c r="O372" s="42"/>
      <c r="P372" s="32"/>
      <c r="Q372" s="8"/>
      <c r="R372" s="8"/>
      <c r="S372" s="8"/>
      <c r="T372" s="32"/>
      <c r="U372" s="8"/>
      <c r="V372" s="8"/>
      <c r="W372" s="43"/>
    </row>
    <row r="373" spans="5:23" x14ac:dyDescent="0.25">
      <c r="E373" s="57">
        <v>33</v>
      </c>
      <c r="F373" s="31"/>
      <c r="G373" s="8"/>
      <c r="H373" s="8"/>
      <c r="I373" s="8"/>
      <c r="J373" s="8"/>
      <c r="K373" s="8"/>
      <c r="L373" s="8"/>
      <c r="M373" s="32"/>
      <c r="N373" s="32"/>
      <c r="O373" s="42"/>
      <c r="P373" s="32"/>
      <c r="Q373" s="8"/>
      <c r="R373" s="8"/>
      <c r="S373" s="8"/>
      <c r="T373" s="32"/>
      <c r="U373" s="8"/>
      <c r="V373" s="8"/>
      <c r="W373" s="43"/>
    </row>
    <row r="374" spans="5:23" x14ac:dyDescent="0.25">
      <c r="E374" s="57">
        <v>34</v>
      </c>
      <c r="F374" s="31"/>
      <c r="G374" s="8"/>
      <c r="H374" s="8"/>
      <c r="I374" s="8"/>
      <c r="J374" s="8"/>
      <c r="K374" s="8"/>
      <c r="L374" s="8"/>
      <c r="M374" s="32"/>
      <c r="N374" s="32"/>
      <c r="O374" s="42"/>
      <c r="P374" s="32"/>
      <c r="Q374" s="8"/>
      <c r="R374" s="8"/>
      <c r="S374" s="8"/>
      <c r="T374" s="32"/>
      <c r="U374" s="8"/>
      <c r="V374" s="8"/>
      <c r="W374" s="43"/>
    </row>
    <row r="375" spans="5:23" x14ac:dyDescent="0.25">
      <c r="E375" s="57">
        <v>35</v>
      </c>
      <c r="F375" s="31"/>
      <c r="G375" s="8"/>
      <c r="H375" s="8"/>
      <c r="I375" s="8"/>
      <c r="J375" s="8"/>
      <c r="K375" s="8"/>
      <c r="L375" s="8"/>
      <c r="M375" s="32"/>
      <c r="N375" s="32"/>
      <c r="O375" s="42"/>
      <c r="P375" s="32"/>
      <c r="Q375" s="8"/>
      <c r="R375" s="8"/>
      <c r="S375" s="8"/>
      <c r="T375" s="32"/>
      <c r="U375" s="8"/>
      <c r="V375" s="8"/>
      <c r="W375" s="43"/>
    </row>
    <row r="376" spans="5:23" x14ac:dyDescent="0.25">
      <c r="E376" s="57">
        <v>36</v>
      </c>
      <c r="F376" s="31"/>
      <c r="G376" s="8"/>
      <c r="H376" s="8"/>
      <c r="I376" s="8"/>
      <c r="J376" s="8"/>
      <c r="K376" s="8"/>
      <c r="L376" s="8"/>
      <c r="M376" s="32"/>
      <c r="N376" s="32"/>
      <c r="O376" s="42"/>
      <c r="P376" s="32"/>
      <c r="Q376" s="8"/>
      <c r="R376" s="8"/>
      <c r="S376" s="8"/>
      <c r="T376" s="32"/>
      <c r="U376" s="8"/>
      <c r="V376" s="8"/>
      <c r="W376" s="43"/>
    </row>
    <row r="377" spans="5:23" x14ac:dyDescent="0.25">
      <c r="E377" s="57">
        <v>37</v>
      </c>
      <c r="F377" s="31"/>
      <c r="G377" s="8"/>
      <c r="H377" s="8"/>
      <c r="I377" s="8"/>
      <c r="J377" s="8"/>
      <c r="K377" s="8"/>
      <c r="L377" s="8"/>
      <c r="M377" s="32"/>
      <c r="N377" s="32"/>
      <c r="O377" s="42"/>
      <c r="P377" s="32"/>
      <c r="Q377" s="8"/>
      <c r="R377" s="8"/>
      <c r="S377" s="8"/>
      <c r="T377" s="32"/>
      <c r="U377" s="8"/>
      <c r="V377" s="8"/>
      <c r="W377" s="43"/>
    </row>
    <row r="378" spans="5:23" x14ac:dyDescent="0.25">
      <c r="E378" s="57">
        <v>38</v>
      </c>
      <c r="F378" s="31"/>
      <c r="G378" s="8"/>
      <c r="H378" s="8"/>
      <c r="I378" s="8"/>
      <c r="J378" s="8"/>
      <c r="K378" s="8"/>
      <c r="L378" s="8"/>
      <c r="M378" s="32"/>
      <c r="N378" s="32"/>
      <c r="O378" s="42"/>
      <c r="P378" s="32"/>
      <c r="Q378" s="8"/>
      <c r="R378" s="8"/>
      <c r="S378" s="8"/>
      <c r="T378" s="32"/>
      <c r="U378" s="8"/>
      <c r="V378" s="8"/>
      <c r="W378" s="43"/>
    </row>
    <row r="379" spans="5:23" ht="15.75" thickBot="1" x14ac:dyDescent="0.3">
      <c r="E379" s="58">
        <v>39</v>
      </c>
      <c r="F379" s="9"/>
      <c r="G379" s="9"/>
      <c r="H379" s="9"/>
      <c r="I379" s="9"/>
      <c r="J379" s="9"/>
      <c r="K379" s="9"/>
      <c r="L379" s="9"/>
      <c r="M379" s="9"/>
      <c r="N379" s="9"/>
      <c r="O379" s="58"/>
      <c r="P379" s="9"/>
      <c r="Q379" s="9"/>
      <c r="R379" s="9"/>
      <c r="S379" s="9"/>
      <c r="T379" s="9"/>
      <c r="U379" s="9"/>
      <c r="V379" s="9"/>
      <c r="W379" s="9"/>
    </row>
    <row r="380" spans="5:23" x14ac:dyDescent="0.25"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57"/>
      <c r="P380" s="8"/>
      <c r="Q380" s="8"/>
      <c r="R380" s="8"/>
      <c r="S380" s="8"/>
      <c r="T380" s="8"/>
      <c r="U380" s="8"/>
      <c r="V380" s="8"/>
      <c r="W380" s="8" t="s">
        <v>304</v>
      </c>
    </row>
  </sheetData>
  <mergeCells count="20">
    <mergeCell ref="F71:H71"/>
    <mergeCell ref="L111:P111"/>
    <mergeCell ref="L112:P112"/>
    <mergeCell ref="L165:P165"/>
    <mergeCell ref="L166:P166"/>
    <mergeCell ref="L220:P220"/>
    <mergeCell ref="L3:P3"/>
    <mergeCell ref="L4:P4"/>
    <mergeCell ref="L57:P57"/>
    <mergeCell ref="L58:P58"/>
    <mergeCell ref="L219:P219"/>
    <mergeCell ref="L328:P328"/>
    <mergeCell ref="F341:H341"/>
    <mergeCell ref="F360:H360"/>
    <mergeCell ref="F233:H233"/>
    <mergeCell ref="F267:O267"/>
    <mergeCell ref="L273:P273"/>
    <mergeCell ref="L274:P274"/>
    <mergeCell ref="F287:H287"/>
    <mergeCell ref="L327:P327"/>
  </mergeCells>
  <pageMargins left="0.7" right="0.7" top="0.75" bottom="0.75" header="0.3" footer="0.3"/>
  <pageSetup scale="3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C33BC-F9CE-463B-940F-564312A01736}">
  <sheetPr>
    <pageSetUpPr fitToPage="1"/>
  </sheetPr>
  <dimension ref="A3:X164"/>
  <sheetViews>
    <sheetView topLeftCell="C1" workbookViewId="0">
      <selection activeCell="D123" sqref="D123:D163"/>
    </sheetView>
  </sheetViews>
  <sheetFormatPr defaultRowHeight="15" x14ac:dyDescent="0.25"/>
  <cols>
    <col min="1" max="1" width="36.28515625" bestFit="1" customWidth="1"/>
    <col min="2" max="2" width="38.28515625" bestFit="1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7" max="17" width="10" bestFit="1" customWidth="1"/>
    <col min="19" max="19" width="13.140625" customWidth="1"/>
    <col min="21" max="21" width="29.140625" bestFit="1" customWidth="1"/>
    <col min="22" max="22" width="18.7109375" bestFit="1" customWidth="1"/>
  </cols>
  <sheetData>
    <row r="3" spans="1:22" x14ac:dyDescent="0.25">
      <c r="D3" s="8"/>
      <c r="E3" s="8"/>
      <c r="F3" s="8"/>
      <c r="G3" s="8"/>
      <c r="H3" s="8"/>
      <c r="I3" s="8"/>
      <c r="J3" s="8"/>
      <c r="K3" s="378"/>
      <c r="L3" s="378"/>
      <c r="M3" s="378"/>
      <c r="N3" s="378"/>
      <c r="O3" s="378"/>
      <c r="P3" s="8"/>
      <c r="Q3" s="8"/>
      <c r="R3" s="8"/>
      <c r="S3" s="8"/>
      <c r="T3" s="8"/>
      <c r="U3" s="8"/>
      <c r="V3" s="8"/>
    </row>
    <row r="4" spans="1:22" ht="15.75" thickBot="1" x14ac:dyDescent="0.3">
      <c r="D4" s="9" t="s">
        <v>305</v>
      </c>
      <c r="E4" s="9"/>
      <c r="F4" s="9"/>
      <c r="G4" s="9"/>
      <c r="H4" s="9"/>
      <c r="I4" s="9"/>
      <c r="J4" s="9"/>
      <c r="K4" s="379" t="s">
        <v>306</v>
      </c>
      <c r="L4" s="379"/>
      <c r="M4" s="379"/>
      <c r="N4" s="379"/>
      <c r="O4" s="379"/>
      <c r="P4" s="9"/>
      <c r="Q4" s="9"/>
      <c r="R4" s="9"/>
      <c r="S4" s="9"/>
      <c r="T4" s="9"/>
      <c r="U4" s="9"/>
      <c r="V4" s="13" t="s">
        <v>883</v>
      </c>
    </row>
    <row r="5" spans="1:22" x14ac:dyDescent="0.25">
      <c r="A5" s="60" t="s">
        <v>711</v>
      </c>
      <c r="B5" s="61">
        <f>+'Operating Revenue Requirement'!F7</f>
        <v>52781640.636248022</v>
      </c>
      <c r="D5" s="8" t="s">
        <v>307</v>
      </c>
      <c r="E5" s="8"/>
      <c r="F5" s="8"/>
      <c r="G5" s="8"/>
      <c r="H5" s="8" t="s">
        <v>308</v>
      </c>
      <c r="I5" s="8"/>
      <c r="J5" s="8" t="s">
        <v>910</v>
      </c>
      <c r="K5" s="8"/>
      <c r="L5" s="8"/>
      <c r="M5" s="8"/>
      <c r="N5" s="98"/>
      <c r="O5" s="99"/>
      <c r="P5" s="8"/>
      <c r="Q5" s="8"/>
      <c r="R5" s="99"/>
      <c r="S5" s="99" t="s">
        <v>309</v>
      </c>
      <c r="T5" s="8"/>
      <c r="U5" s="8"/>
      <c r="V5" s="10"/>
    </row>
    <row r="6" spans="1:22" x14ac:dyDescent="0.25">
      <c r="D6" s="8"/>
      <c r="E6" s="8"/>
      <c r="F6" s="8"/>
      <c r="G6" s="8"/>
      <c r="H6" s="8"/>
      <c r="I6" s="8"/>
      <c r="J6" s="8" t="s">
        <v>911</v>
      </c>
      <c r="K6" s="8"/>
      <c r="L6" s="8"/>
      <c r="M6" s="8"/>
      <c r="N6" s="57"/>
      <c r="O6" s="10"/>
      <c r="P6" s="8"/>
      <c r="Q6" s="8"/>
      <c r="R6" s="11"/>
      <c r="S6" s="11"/>
      <c r="T6" s="117" t="s">
        <v>916</v>
      </c>
      <c r="U6" s="116" t="s">
        <v>1512</v>
      </c>
      <c r="V6" s="11"/>
    </row>
    <row r="7" spans="1:22" x14ac:dyDescent="0.25">
      <c r="A7" s="62" t="s">
        <v>713</v>
      </c>
      <c r="B7" s="64">
        <v>4.0180124999999997E-2</v>
      </c>
      <c r="D7" s="8" t="s">
        <v>310</v>
      </c>
      <c r="E7" s="8"/>
      <c r="F7" s="8"/>
      <c r="G7" s="8"/>
      <c r="H7" s="8"/>
      <c r="I7" s="8"/>
      <c r="J7" s="8" t="s">
        <v>912</v>
      </c>
      <c r="K7" s="8"/>
      <c r="L7" s="8"/>
      <c r="M7" s="8"/>
      <c r="N7" s="57"/>
      <c r="O7" s="10"/>
      <c r="P7" s="11"/>
      <c r="Q7" s="8"/>
      <c r="R7" s="8"/>
      <c r="S7" s="11"/>
      <c r="T7" s="265"/>
      <c r="U7" s="116"/>
      <c r="V7" s="11"/>
    </row>
    <row r="8" spans="1:22" x14ac:dyDescent="0.25">
      <c r="A8" s="62" t="s">
        <v>712</v>
      </c>
      <c r="B8" s="63">
        <f>+(S54+S144)</f>
        <v>52781641.044290155</v>
      </c>
      <c r="D8" s="8"/>
      <c r="E8" s="8"/>
      <c r="F8" s="8"/>
      <c r="G8" s="8"/>
      <c r="H8" s="8"/>
      <c r="I8" s="8"/>
      <c r="J8" s="8" t="s">
        <v>913</v>
      </c>
      <c r="K8" s="8"/>
      <c r="L8" s="8"/>
      <c r="M8" s="8"/>
      <c r="N8" s="57"/>
      <c r="O8" s="10"/>
      <c r="P8" s="11"/>
      <c r="Q8" s="8"/>
      <c r="R8" s="8"/>
      <c r="S8" s="11"/>
      <c r="T8" s="265"/>
      <c r="U8" s="116"/>
      <c r="V8" s="11"/>
    </row>
    <row r="9" spans="1:22" x14ac:dyDescent="0.25">
      <c r="D9" s="8"/>
      <c r="E9" s="8"/>
      <c r="F9" s="11"/>
      <c r="G9" s="8"/>
      <c r="H9" s="8"/>
      <c r="I9" s="8"/>
      <c r="J9" s="8" t="s">
        <v>914</v>
      </c>
      <c r="K9" s="12"/>
      <c r="L9" s="12"/>
      <c r="M9" s="12"/>
      <c r="N9" s="57"/>
      <c r="O9" s="8"/>
      <c r="P9" s="8"/>
      <c r="Q9" s="8"/>
      <c r="R9" s="8"/>
      <c r="S9" s="8"/>
      <c r="T9" s="265"/>
      <c r="V9" s="8"/>
    </row>
    <row r="10" spans="1:22" ht="15.75" thickBot="1" x14ac:dyDescent="0.3">
      <c r="D10" s="9" t="s">
        <v>1292</v>
      </c>
      <c r="E10" s="9"/>
      <c r="F10" s="13"/>
      <c r="G10" s="14"/>
      <c r="H10" s="14"/>
      <c r="I10" s="14"/>
      <c r="J10" s="15" t="s">
        <v>915</v>
      </c>
      <c r="K10" s="14"/>
      <c r="L10" s="14"/>
      <c r="M10" s="14"/>
      <c r="N10" s="14"/>
      <c r="O10" s="14"/>
      <c r="P10" s="14"/>
      <c r="Q10" s="15"/>
      <c r="R10" s="14"/>
      <c r="S10" s="14"/>
      <c r="T10" s="14"/>
      <c r="U10" s="114" t="s">
        <v>1519</v>
      </c>
      <c r="V10" s="14"/>
    </row>
    <row r="11" spans="1:22" x14ac:dyDescent="0.2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12"/>
      <c r="R11" s="8"/>
      <c r="S11" s="8"/>
      <c r="T11" s="8"/>
      <c r="U11" s="8"/>
      <c r="V11" s="8"/>
    </row>
    <row r="12" spans="1:22" x14ac:dyDescent="0.2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25">
      <c r="D13" s="8"/>
      <c r="E13" s="8"/>
      <c r="F13" s="8"/>
      <c r="G13" s="8"/>
      <c r="H13" s="8"/>
      <c r="I13" s="16"/>
      <c r="J13" s="16"/>
      <c r="K13" s="17"/>
      <c r="L13" s="17" t="s">
        <v>311</v>
      </c>
      <c r="M13" s="12"/>
      <c r="N13" s="18" t="s">
        <v>741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2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D15" s="57" t="s">
        <v>313</v>
      </c>
      <c r="E15" s="196" t="s">
        <v>314</v>
      </c>
      <c r="F15" s="20"/>
      <c r="G15" s="21"/>
      <c r="H15" s="22"/>
      <c r="I15" s="22"/>
      <c r="J15" s="23" t="s">
        <v>315</v>
      </c>
      <c r="K15" s="22"/>
      <c r="L15" s="22"/>
      <c r="M15" s="20"/>
      <c r="N15" s="24"/>
      <c r="O15" s="22"/>
      <c r="P15" s="23"/>
      <c r="Q15" s="23" t="s">
        <v>316</v>
      </c>
      <c r="R15" s="22"/>
      <c r="S15" s="22"/>
      <c r="T15" s="20"/>
      <c r="U15" s="25" t="s">
        <v>317</v>
      </c>
      <c r="V15" s="25" t="s">
        <v>318</v>
      </c>
    </row>
    <row r="16" spans="1:22" ht="15.75" thickBot="1" x14ac:dyDescent="0.3">
      <c r="A16" s="85" t="s">
        <v>551</v>
      </c>
      <c r="B16" s="85" t="s">
        <v>552</v>
      </c>
      <c r="D16" s="58" t="s">
        <v>319</v>
      </c>
      <c r="E16" s="192" t="s">
        <v>320</v>
      </c>
      <c r="F16" s="27"/>
      <c r="G16" s="9"/>
      <c r="H16" s="58" t="s">
        <v>321</v>
      </c>
      <c r="I16" s="28"/>
      <c r="J16" s="28" t="s">
        <v>322</v>
      </c>
      <c r="K16" s="28"/>
      <c r="L16" s="28" t="s">
        <v>323</v>
      </c>
      <c r="M16" s="28"/>
      <c r="N16" s="28"/>
      <c r="O16" s="28" t="s">
        <v>321</v>
      </c>
      <c r="P16" s="28"/>
      <c r="Q16" s="28" t="s">
        <v>322</v>
      </c>
      <c r="R16" s="28"/>
      <c r="S16" s="28" t="s">
        <v>323</v>
      </c>
      <c r="T16" s="27"/>
      <c r="U16" s="29" t="s">
        <v>324</v>
      </c>
      <c r="V16" s="29" t="s">
        <v>325</v>
      </c>
    </row>
    <row r="17" spans="1:24" x14ac:dyDescent="0.25">
      <c r="D17" s="57">
        <v>1</v>
      </c>
      <c r="E17" s="31" t="s">
        <v>326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4" x14ac:dyDescent="0.25">
      <c r="A18" s="59" t="s">
        <v>201</v>
      </c>
      <c r="B18" s="59" t="s">
        <v>680</v>
      </c>
      <c r="D18" s="57">
        <v>2</v>
      </c>
      <c r="E18" s="31" t="s">
        <v>364</v>
      </c>
      <c r="F18" s="8"/>
      <c r="G18" s="8"/>
      <c r="H18" s="32">
        <f>+INDEX('2025 Billing Determinants'!B:B,MATCH('2027 GSLDPR Rate Class E-13c'!A18,'2025 Billing Determinants'!A:A,0))</f>
        <v>8585.9699999999993</v>
      </c>
      <c r="I18" s="32" t="s">
        <v>328</v>
      </c>
      <c r="J18" s="39">
        <f>+INDEX('2026 Base Rates'!E:E,MATCH('2027 GSLDPR Rate Class E-13c'!B18,'2026 Base Rates'!D:D,0))</f>
        <v>22.689853641000003</v>
      </c>
      <c r="K18" s="32"/>
      <c r="L18" s="32">
        <f>+H18*J18</f>
        <v>194814.40266601677</v>
      </c>
      <c r="M18" s="8"/>
      <c r="N18" s="57"/>
      <c r="O18" s="32">
        <f>+INDEX('2025 Billing Determinants'!B:B,MATCH('2027 GSLDPR Rate Class E-13c'!A18,'2025 Billing Determinants'!A:A,0))</f>
        <v>8585.9699999999993</v>
      </c>
      <c r="P18" s="32" t="s">
        <v>328</v>
      </c>
      <c r="Q18" s="39">
        <f>+J18*(1+$B$7)</f>
        <v>23.601534796527087</v>
      </c>
      <c r="R18" s="32"/>
      <c r="S18" s="32">
        <f>+O18*Q18</f>
        <v>202642.06971693767</v>
      </c>
      <c r="T18" s="32"/>
      <c r="U18" s="32">
        <f>+S18-L18</f>
        <v>7827.6670509208925</v>
      </c>
      <c r="V18" s="41">
        <f>+IF(U18=0,0,(S18-L18)/L18)</f>
        <v>4.0180125000000025E-2</v>
      </c>
      <c r="X18" s="260"/>
    </row>
    <row r="19" spans="1:24" ht="16.5" x14ac:dyDescent="0.35">
      <c r="A19" s="59" t="s">
        <v>215</v>
      </c>
      <c r="B19" s="59" t="s">
        <v>681</v>
      </c>
      <c r="D19" s="57">
        <v>3</v>
      </c>
      <c r="E19" s="8" t="s">
        <v>721</v>
      </c>
      <c r="F19" s="8"/>
      <c r="G19" s="8"/>
      <c r="H19" s="105">
        <f>+INDEX('2025 Billing Determinants'!B:B,MATCH('2027 GSLDPR Rate Class E-13c'!A19,'2025 Billing Determinants'!A:A,0))</f>
        <v>13410.6</v>
      </c>
      <c r="I19" s="32" t="s">
        <v>328</v>
      </c>
      <c r="J19" s="39">
        <f>+INDEX('2026 Base Rates'!E:E,MATCH('2027 GSLDPR Rate Class E-13c'!B19,'2026 Base Rates'!D:D,0))</f>
        <v>22.689853641000003</v>
      </c>
      <c r="K19" s="8"/>
      <c r="L19" s="105">
        <f>+H19*J19</f>
        <v>304284.55123799463</v>
      </c>
      <c r="M19" s="8"/>
      <c r="N19" s="57"/>
      <c r="O19" s="105">
        <f>+INDEX('2025 Billing Determinants'!B:B,MATCH('2027 GSLDPR Rate Class E-13c'!A19,'2025 Billing Determinants'!A:A,0))</f>
        <v>13410.6</v>
      </c>
      <c r="P19" s="32" t="s">
        <v>328</v>
      </c>
      <c r="Q19" s="39">
        <f>+J19*(1+$B$7)</f>
        <v>23.601534796527087</v>
      </c>
      <c r="R19" s="8"/>
      <c r="S19" s="105">
        <f>+O19*Q19</f>
        <v>316510.74254230614</v>
      </c>
      <c r="T19" s="32"/>
      <c r="U19" s="32">
        <f t="shared" ref="U19:U20" si="0">+S19-L19</f>
        <v>12226.191304311506</v>
      </c>
      <c r="V19" s="41">
        <f t="shared" ref="V19:V20" si="1">+IF(U19=0,0,(S19-L19)/L19)</f>
        <v>4.0180124999999921E-2</v>
      </c>
    </row>
    <row r="20" spans="1:24" x14ac:dyDescent="0.25">
      <c r="A20" s="59"/>
      <c r="B20" s="59"/>
      <c r="D20" s="57">
        <v>4</v>
      </c>
      <c r="E20" s="71" t="s">
        <v>335</v>
      </c>
      <c r="F20" s="8"/>
      <c r="G20" s="8"/>
      <c r="H20" s="33">
        <f>+SUM(H18:H19)</f>
        <v>21996.57</v>
      </c>
      <c r="I20" s="32" t="s">
        <v>341</v>
      </c>
      <c r="J20" s="39"/>
      <c r="K20" s="32"/>
      <c r="L20" s="100">
        <f>+SUM(L18:L19)</f>
        <v>499098.9539040114</v>
      </c>
      <c r="M20" s="32"/>
      <c r="N20" s="42"/>
      <c r="O20" s="33">
        <f>+SUM(O18:O19)</f>
        <v>21996.57</v>
      </c>
      <c r="P20" s="32" t="s">
        <v>341</v>
      </c>
      <c r="Q20" s="39"/>
      <c r="R20" s="32"/>
      <c r="S20" s="100">
        <f>+SUM(S18:S19)</f>
        <v>519152.8122592438</v>
      </c>
      <c r="T20" s="32"/>
      <c r="U20" s="32">
        <f t="shared" si="0"/>
        <v>20053.858355232398</v>
      </c>
      <c r="V20" s="41">
        <f t="shared" si="1"/>
        <v>4.0180124999999962E-2</v>
      </c>
    </row>
    <row r="21" spans="1:24" x14ac:dyDescent="0.25">
      <c r="A21" s="59"/>
      <c r="B21" s="59"/>
      <c r="D21" s="57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4" x14ac:dyDescent="0.25">
      <c r="A22" s="59"/>
      <c r="B22" s="59"/>
      <c r="D22" s="57">
        <v>6</v>
      </c>
      <c r="E22" s="31" t="s">
        <v>342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4" x14ac:dyDescent="0.25">
      <c r="A23" s="59" t="s">
        <v>202</v>
      </c>
      <c r="B23" s="59" t="s">
        <v>682</v>
      </c>
      <c r="D23" s="57">
        <v>7</v>
      </c>
      <c r="E23" s="31" t="s">
        <v>364</v>
      </c>
      <c r="F23" s="8"/>
      <c r="G23" s="8"/>
      <c r="H23" s="33">
        <f>+INDEX('2025 Billing Determinants'!B:B,MATCH('2027 GSLDPR Rate Class E-13c'!A23,'2025 Billing Determinants'!A:A,0))</f>
        <v>257957869.19</v>
      </c>
      <c r="I23" s="32" t="s">
        <v>710</v>
      </c>
      <c r="J23" s="48">
        <f>+INDEX('2026 Base Rates'!E:E,MATCH('2027 GSLDPR Rate Class E-13c'!B23,'2026 Base Rates'!D:D,0))</f>
        <v>1.1258489282820002E-2</v>
      </c>
      <c r="K23" s="32"/>
      <c r="L23" s="32">
        <f>+H23*J23</f>
        <v>2904215.9056946989</v>
      </c>
      <c r="M23" s="33"/>
      <c r="N23" s="42"/>
      <c r="O23" s="33">
        <f>+INDEX('2025 Billing Determinants'!B:B,MATCH('2027 GSLDPR Rate Class E-13c'!A23,'2025 Billing Determinants'!A:A,0))</f>
        <v>257957869.19</v>
      </c>
      <c r="P23" s="32" t="s">
        <v>710</v>
      </c>
      <c r="Q23" s="48">
        <f t="shared" ref="Q23:Q26" si="2">+J23*(1+$B$7)</f>
        <v>1.1710856789514871E-2</v>
      </c>
      <c r="R23" s="32"/>
      <c r="S23" s="32">
        <f>+O23*Q23</f>
        <v>3020907.6638125004</v>
      </c>
      <c r="T23" s="32"/>
      <c r="U23" s="32">
        <f t="shared" ref="U23:U27" si="3">+S23-L23</f>
        <v>116691.75811780151</v>
      </c>
      <c r="V23" s="41">
        <f t="shared" ref="V23:V27" si="4">+IF(U23=0,0,(S23-L23)/L23)</f>
        <v>4.0180125000000101E-2</v>
      </c>
    </row>
    <row r="24" spans="1:24" x14ac:dyDescent="0.25">
      <c r="A24" s="59" t="s">
        <v>218</v>
      </c>
      <c r="B24" s="59" t="s">
        <v>683</v>
      </c>
      <c r="D24" s="57">
        <v>8</v>
      </c>
      <c r="E24" s="31" t="s">
        <v>724</v>
      </c>
      <c r="F24" s="8"/>
      <c r="G24" s="8"/>
      <c r="H24" s="33">
        <f>+INDEX('2025 Billing Determinants'!B:B,MATCH('2027 GSLDPR Rate Class E-13c'!A24,'2025 Billing Determinants'!A:A,0))</f>
        <v>248665475.38</v>
      </c>
      <c r="I24" s="32" t="s">
        <v>710</v>
      </c>
      <c r="J24" s="48">
        <f>+INDEX('2026 Base Rates'!E:E,MATCH('2027 GSLDPR Rate Class E-13c'!B24,'2026 Base Rates'!D:D,0))</f>
        <v>1.8357172064790001E-2</v>
      </c>
      <c r="K24" s="8"/>
      <c r="L24" s="32">
        <f>+H24*J24</f>
        <v>4564794.9181234613</v>
      </c>
      <c r="M24" s="8"/>
      <c r="N24" s="57"/>
      <c r="O24" s="33">
        <f>+INDEX('2025 Billing Determinants'!B:B,MATCH('2027 GSLDPR Rate Class E-13c'!A24,'2025 Billing Determinants'!A:A,0))</f>
        <v>248665475.38</v>
      </c>
      <c r="P24" s="32" t="s">
        <v>710</v>
      </c>
      <c r="Q24" s="48">
        <f t="shared" si="2"/>
        <v>1.9094765532999772E-2</v>
      </c>
      <c r="R24" s="8"/>
      <c r="S24" s="32">
        <f>+O24*Q24</f>
        <v>4748208.9485330274</v>
      </c>
      <c r="T24" s="32"/>
      <c r="U24" s="32">
        <f t="shared" si="3"/>
        <v>183414.03040956613</v>
      </c>
      <c r="V24" s="41">
        <f t="shared" si="4"/>
        <v>4.018012500000015E-2</v>
      </c>
    </row>
    <row r="25" spans="1:24" x14ac:dyDescent="0.25">
      <c r="A25" s="59" t="s">
        <v>219</v>
      </c>
      <c r="B25" s="59" t="s">
        <v>684</v>
      </c>
      <c r="D25" s="57">
        <v>9</v>
      </c>
      <c r="E25" s="31" t="s">
        <v>727</v>
      </c>
      <c r="F25" s="35"/>
      <c r="G25" s="31"/>
      <c r="H25" s="33">
        <f>+INDEX('2025 Billing Determinants'!B:B,MATCH('2027 GSLDPR Rate Class E-13c'!A25,'2025 Billing Determinants'!A:A,0))</f>
        <v>415280779.51999998</v>
      </c>
      <c r="I25" s="32" t="s">
        <v>710</v>
      </c>
      <c r="J25" s="48">
        <f>+INDEX('2026 Base Rates'!E:E,MATCH('2027 GSLDPR Rate Class E-13c'!B25,'2026 Base Rates'!D:D,0))</f>
        <v>1.1185822431290003E-2</v>
      </c>
      <c r="K25" s="8"/>
      <c r="L25" s="32">
        <f>+H25*J25</f>
        <v>4645257.058838414</v>
      </c>
      <c r="M25" s="8"/>
      <c r="N25" s="57"/>
      <c r="O25" s="33">
        <f>+INDEX('2025 Billing Determinants'!B:B,MATCH('2027 GSLDPR Rate Class E-13c'!A25,'2025 Billing Determinants'!A:A,0))</f>
        <v>415280779.51999998</v>
      </c>
      <c r="P25" s="32" t="s">
        <v>710</v>
      </c>
      <c r="Q25" s="48">
        <f t="shared" si="2"/>
        <v>1.163527017480704E-2</v>
      </c>
      <c r="R25" s="8"/>
      <c r="S25" s="32">
        <f>+O25*Q25</f>
        <v>4831904.068119674</v>
      </c>
      <c r="T25" s="32"/>
      <c r="U25" s="32">
        <f t="shared" si="3"/>
        <v>186647.00928125996</v>
      </c>
      <c r="V25" s="41">
        <f t="shared" si="4"/>
        <v>4.0180125000000025E-2</v>
      </c>
    </row>
    <row r="26" spans="1:24" ht="16.5" x14ac:dyDescent="0.35">
      <c r="A26" s="59" t="s">
        <v>903</v>
      </c>
      <c r="B26" s="59" t="s">
        <v>1243</v>
      </c>
      <c r="D26" s="57"/>
      <c r="E26" s="31" t="s">
        <v>1267</v>
      </c>
      <c r="F26" s="35"/>
      <c r="G26" s="31"/>
      <c r="H26" s="104">
        <f>+INDEX('2025 Billing Determinants'!B:B,MATCH('2027 GSLDPR Rate Class E-13c'!A26,'2025 Billing Determinants'!A:A,0))</f>
        <v>352199879.16000003</v>
      </c>
      <c r="I26" s="32" t="s">
        <v>710</v>
      </c>
      <c r="J26" s="48">
        <f>+INDEX('2026 Base Rates'!E:E,MATCH('2027 GSLDPR Rate Class E-13c'!B26,'2026 Base Rates'!D:D,0))</f>
        <v>6.7580171922900032E-3</v>
      </c>
      <c r="K26" s="32"/>
      <c r="L26" s="105">
        <f>+H26*J26</f>
        <v>2380172.838485742</v>
      </c>
      <c r="M26" s="32"/>
      <c r="N26" s="42"/>
      <c r="O26" s="104">
        <f>+INDEX('2025 Billing Determinants'!B:B,MATCH('2027 GSLDPR Rate Class E-13c'!A26,'2025 Billing Determinants'!A:A,0))</f>
        <v>352199879.16000003</v>
      </c>
      <c r="P26" s="32" t="s">
        <v>710</v>
      </c>
      <c r="Q26" s="48">
        <f t="shared" si="2"/>
        <v>7.0295551678283648E-3</v>
      </c>
      <c r="R26" s="32"/>
      <c r="S26" s="105">
        <f>+O26*Q26</f>
        <v>2475808.4806577037</v>
      </c>
      <c r="T26" s="8"/>
      <c r="U26" s="32">
        <f t="shared" ref="U26" si="5">+S26-L26</f>
        <v>95635.642171961721</v>
      </c>
      <c r="V26" s="143">
        <f>IFERROR(+IF(U26=0,0,(S26-L26)/L26),"New Rate")</f>
        <v>4.0180124999999914E-2</v>
      </c>
    </row>
    <row r="27" spans="1:24" x14ac:dyDescent="0.25">
      <c r="A27" s="59"/>
      <c r="B27" s="59"/>
      <c r="D27" s="57">
        <v>10</v>
      </c>
      <c r="E27" s="71" t="s">
        <v>335</v>
      </c>
      <c r="F27" s="35"/>
      <c r="G27" s="8"/>
      <c r="H27" s="32">
        <f>+SUM(H23:H26)</f>
        <v>1274104003.25</v>
      </c>
      <c r="I27" s="32" t="s">
        <v>710</v>
      </c>
      <c r="J27" s="32"/>
      <c r="K27" s="32"/>
      <c r="L27" s="100">
        <f>+SUM(L23:L26)</f>
        <v>14494440.721142316</v>
      </c>
      <c r="M27" s="32"/>
      <c r="N27" s="42"/>
      <c r="O27" s="32">
        <f>+SUM(O23:O26)</f>
        <v>1274104003.25</v>
      </c>
      <c r="P27" s="32" t="s">
        <v>710</v>
      </c>
      <c r="Q27" s="32"/>
      <c r="R27" s="32"/>
      <c r="S27" s="100">
        <f>+SUM(S23:S26)</f>
        <v>15076829.161122907</v>
      </c>
      <c r="T27" s="8"/>
      <c r="U27" s="32">
        <f t="shared" si="3"/>
        <v>582388.43998059072</v>
      </c>
      <c r="V27" s="41">
        <f t="shared" si="4"/>
        <v>4.0180125000000157E-2</v>
      </c>
    </row>
    <row r="28" spans="1:24" x14ac:dyDescent="0.25">
      <c r="A28" s="59"/>
      <c r="B28" s="59"/>
      <c r="D28" s="57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4" x14ac:dyDescent="0.25">
      <c r="A29" s="59"/>
      <c r="B29" s="59"/>
      <c r="D29" s="57">
        <v>12</v>
      </c>
      <c r="E29" s="8" t="s">
        <v>379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4" x14ac:dyDescent="0.25">
      <c r="A30" s="59" t="s">
        <v>203</v>
      </c>
      <c r="B30" s="59" t="s">
        <v>685</v>
      </c>
      <c r="D30" s="57">
        <v>13</v>
      </c>
      <c r="E30" s="31" t="s">
        <v>364</v>
      </c>
      <c r="F30" s="35"/>
      <c r="G30" s="31"/>
      <c r="H30" s="33">
        <f>+INDEX('2025 Billing Determinants'!B:B,MATCH('2027 GSLDPR Rate Class E-13c'!A30,'2025 Billing Determinants'!A:A,0))</f>
        <v>643312.37</v>
      </c>
      <c r="I30" s="32" t="s">
        <v>729</v>
      </c>
      <c r="J30" s="39">
        <f>+INDEX('2026 Base Rates'!E:E,MATCH('2027 GSLDPR Rate Class E-13c'!B30,'2026 Base Rates'!D:D,0))</f>
        <v>13.769143534856953</v>
      </c>
      <c r="K30" s="32"/>
      <c r="L30" s="32">
        <f>+H30*J30</f>
        <v>8857860.3602790032</v>
      </c>
      <c r="M30" s="32"/>
      <c r="N30" s="42"/>
      <c r="O30" s="32">
        <f>+INDEX('2025 Billing Determinants'!B:B,MATCH('2027 GSLDPR Rate Class E-13c'!A30,'2025 Billing Determinants'!A:A,0))</f>
        <v>643312.37</v>
      </c>
      <c r="P30" s="32" t="s">
        <v>729</v>
      </c>
      <c r="Q30" s="39">
        <f t="shared" ref="Q30:Q32" si="6">+J30*(1+$B$7)</f>
        <v>14.322389443230447</v>
      </c>
      <c r="R30" s="32"/>
      <c r="S30" s="32">
        <f>+O30*Q30</f>
        <v>9213770.29678756</v>
      </c>
      <c r="T30" s="8"/>
      <c r="U30" s="32">
        <f t="shared" ref="U30:U33" si="7">+S30-L30</f>
        <v>355909.93650855683</v>
      </c>
      <c r="V30" s="41">
        <f t="shared" ref="V30:V33" si="8">+IF(U30=0,0,(S30-L30)/L30)</f>
        <v>4.0180125000000164E-2</v>
      </c>
    </row>
    <row r="31" spans="1:24" x14ac:dyDescent="0.25">
      <c r="A31" s="59" t="s">
        <v>220</v>
      </c>
      <c r="B31" s="59" t="s">
        <v>686</v>
      </c>
      <c r="D31" s="57">
        <v>14</v>
      </c>
      <c r="E31" s="31" t="s">
        <v>381</v>
      </c>
      <c r="F31" s="8"/>
      <c r="G31" s="8"/>
      <c r="H31" s="33">
        <f>+INDEX('2025 Billing Determinants'!B:B,MATCH('2027 GSLDPR Rate Class E-13c'!A31,'2025 Billing Determinants'!A:A,0))</f>
        <v>1888584.92</v>
      </c>
      <c r="I31" s="32" t="s">
        <v>729</v>
      </c>
      <c r="J31" s="39">
        <f>+INDEX('2026 Base Rates'!E:E,MATCH('2027 GSLDPR Rate Class E-13c'!B31,'2026 Base Rates'!D:D,0))</f>
        <v>3.0986211940935928</v>
      </c>
      <c r="K31" s="32"/>
      <c r="L31" s="32">
        <f>+H31*J31</f>
        <v>5852009.259957552</v>
      </c>
      <c r="M31" s="32"/>
      <c r="N31" s="42"/>
      <c r="O31" s="32">
        <f>+INDEX('2025 Billing Determinants'!B:B,MATCH('2027 GSLDPR Rate Class E-13c'!A31,'2025 Billing Determinants'!A:A,0))</f>
        <v>1888584.92</v>
      </c>
      <c r="P31" s="32" t="s">
        <v>729</v>
      </c>
      <c r="Q31" s="39">
        <f t="shared" si="6"/>
        <v>3.2231241809999225</v>
      </c>
      <c r="R31" s="32"/>
      <c r="S31" s="32">
        <f>+O31*Q31</f>
        <v>6087143.723523804</v>
      </c>
      <c r="T31" s="8"/>
      <c r="U31" s="32">
        <f t="shared" si="7"/>
        <v>235134.46356625203</v>
      </c>
      <c r="V31" s="41">
        <f t="shared" si="8"/>
        <v>4.0180125000000018E-2</v>
      </c>
    </row>
    <row r="32" spans="1:24" ht="16.5" x14ac:dyDescent="0.35">
      <c r="A32" s="59" t="s">
        <v>221</v>
      </c>
      <c r="B32" s="59" t="s">
        <v>687</v>
      </c>
      <c r="D32" s="57">
        <v>15</v>
      </c>
      <c r="E32" s="31" t="s">
        <v>384</v>
      </c>
      <c r="F32" s="35"/>
      <c r="G32" s="31"/>
      <c r="H32" s="104">
        <f>+INDEX('2025 Billing Determinants'!B:B,MATCH('2027 GSLDPR Rate Class E-13c'!A32,'2025 Billing Determinants'!A:A,0))</f>
        <v>1780840.11</v>
      </c>
      <c r="I32" s="32" t="s">
        <v>731</v>
      </c>
      <c r="J32" s="39">
        <f>+INDEX('2026 Base Rates'!E:E,MATCH('2027 GSLDPR Rate Class E-13c'!B32,'2026 Base Rates'!D:D,0))</f>
        <v>10.665225923013358</v>
      </c>
      <c r="K32" s="32"/>
      <c r="L32" s="105">
        <f>+H32*J32</f>
        <v>18993062.105913959</v>
      </c>
      <c r="M32" s="32"/>
      <c r="N32" s="42"/>
      <c r="O32" s="105">
        <f>+INDEX('2025 Billing Determinants'!B:B,MATCH('2027 GSLDPR Rate Class E-13c'!A32,'2025 Billing Determinants'!A:A,0))</f>
        <v>1780840.11</v>
      </c>
      <c r="P32" s="32" t="s">
        <v>731</v>
      </c>
      <c r="Q32" s="39">
        <f t="shared" si="6"/>
        <v>11.093756033753275</v>
      </c>
      <c r="R32" s="32"/>
      <c r="S32" s="105">
        <f>+O32*Q32</f>
        <v>19756205.715462346</v>
      </c>
      <c r="T32" s="8"/>
      <c r="U32" s="32">
        <f t="shared" si="7"/>
        <v>763143.60954838619</v>
      </c>
      <c r="V32" s="41">
        <f t="shared" si="8"/>
        <v>4.0180125000000004E-2</v>
      </c>
    </row>
    <row r="33" spans="1:22" x14ac:dyDescent="0.25">
      <c r="A33" s="59"/>
      <c r="B33" s="146"/>
      <c r="D33" s="57">
        <v>16</v>
      </c>
      <c r="E33" s="20" t="s">
        <v>330</v>
      </c>
      <c r="F33" s="35"/>
      <c r="G33" s="8"/>
      <c r="H33" s="32">
        <f>+SUM(H30:H31)</f>
        <v>2531897.29</v>
      </c>
      <c r="I33" s="32" t="s">
        <v>729</v>
      </c>
      <c r="J33" s="39"/>
      <c r="K33" s="32"/>
      <c r="L33" s="100">
        <f>+SUM(L30:L32)</f>
        <v>33702931.726150513</v>
      </c>
      <c r="M33" s="32"/>
      <c r="N33" s="42"/>
      <c r="O33" s="32">
        <f>+SUM(O30:O31)</f>
        <v>2531897.29</v>
      </c>
      <c r="P33" s="32" t="s">
        <v>729</v>
      </c>
      <c r="Q33" s="39"/>
      <c r="R33" s="32"/>
      <c r="S33" s="100">
        <f>+SUM(S30:S32)</f>
        <v>35057119.735773712</v>
      </c>
      <c r="T33" s="32"/>
      <c r="U33" s="32">
        <f t="shared" si="7"/>
        <v>1354188.0096231997</v>
      </c>
      <c r="V33" s="41">
        <f t="shared" si="8"/>
        <v>4.0180125000000184E-2</v>
      </c>
    </row>
    <row r="34" spans="1:22" x14ac:dyDescent="0.25">
      <c r="A34" s="59"/>
      <c r="B34" s="146"/>
      <c r="D34" s="57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39"/>
      <c r="R34" s="32"/>
      <c r="S34" s="32"/>
      <c r="T34" s="32"/>
      <c r="U34" s="32"/>
      <c r="V34" s="43"/>
    </row>
    <row r="35" spans="1:22" x14ac:dyDescent="0.25">
      <c r="A35" s="59"/>
      <c r="B35" s="146"/>
      <c r="D35" s="57">
        <v>18</v>
      </c>
      <c r="E35" s="31" t="s">
        <v>345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 x14ac:dyDescent="0.25">
      <c r="A36" s="59" t="s">
        <v>204</v>
      </c>
      <c r="B36" s="59" t="s">
        <v>692</v>
      </c>
      <c r="D36" s="57">
        <v>19</v>
      </c>
      <c r="E36" s="31" t="s">
        <v>387</v>
      </c>
      <c r="F36" s="8"/>
      <c r="G36" s="8"/>
      <c r="H36" s="32">
        <f>+INDEX('2025 Billing Determinants'!B:B,MATCH('2027 GSLDPR Rate Class E-13c'!A36,'2025 Billing Determinants'!A:A,0))</f>
        <v>119000.51</v>
      </c>
      <c r="I36" s="32" t="s">
        <v>729</v>
      </c>
      <c r="J36" s="39">
        <f>+INDEX('2026 Base Rates'!E:E,MATCH('2027 GSLDPR Rate Class E-13c'!B36,'2026 Base Rates'!D:D,0))</f>
        <v>1.080469221</v>
      </c>
      <c r="K36" s="8"/>
      <c r="L36" s="32">
        <f>+H36*J36</f>
        <v>128576.3883383027</v>
      </c>
      <c r="M36" s="8"/>
      <c r="N36" s="57"/>
      <c r="O36" s="32">
        <f>+INDEX('2025 Billing Determinants'!B:B,MATCH('2027 GSLDPR Rate Class E-13c'!A36,'2025 Billing Determinants'!A:A,0))</f>
        <v>119000.51</v>
      </c>
      <c r="P36" s="32" t="s">
        <v>729</v>
      </c>
      <c r="Q36" s="39">
        <f t="shared" ref="Q36:Q37" si="9">+J36*(1+$B$7)</f>
        <v>1.1238826093584326</v>
      </c>
      <c r="R36" s="8"/>
      <c r="S36" s="32">
        <f>+O36*Q36</f>
        <v>133742.60369378424</v>
      </c>
      <c r="T36" s="8"/>
      <c r="U36" s="32">
        <f t="shared" ref="U36:U38" si="10">+S36-L36</f>
        <v>5166.215355481545</v>
      </c>
      <c r="V36" s="41">
        <f t="shared" ref="V36:V38" si="11">+IF(U36=0,0,(S36-L36)/L36)</f>
        <v>4.0180125000000004E-2</v>
      </c>
    </row>
    <row r="37" spans="1:22" ht="16.5" x14ac:dyDescent="0.35">
      <c r="A37" s="59" t="s">
        <v>222</v>
      </c>
      <c r="B37" s="59" t="s">
        <v>693</v>
      </c>
      <c r="D37" s="57">
        <v>20</v>
      </c>
      <c r="E37" s="31" t="s">
        <v>734</v>
      </c>
      <c r="F37" s="8"/>
      <c r="G37" s="8"/>
      <c r="H37" s="105">
        <f>+INDEX('2025 Billing Determinants'!B:B,MATCH('2027 GSLDPR Rate Class E-13c'!A37,'2025 Billing Determinants'!A:A,0))</f>
        <v>888138.23</v>
      </c>
      <c r="I37" s="32" t="s">
        <v>729</v>
      </c>
      <c r="J37" s="39">
        <f>+INDEX('2026 Base Rates'!E:E,MATCH('2027 GSLDPR Rate Class E-13c'!B37,'2026 Base Rates'!D:D,0))</f>
        <v>1.080469221</v>
      </c>
      <c r="K37" s="8"/>
      <c r="L37" s="105">
        <f>+H37*J37</f>
        <v>959606.02150841884</v>
      </c>
      <c r="M37" s="8"/>
      <c r="N37" s="57"/>
      <c r="O37" s="105">
        <f>+INDEX('2025 Billing Determinants'!B:B,MATCH('2027 GSLDPR Rate Class E-13c'!A37,'2025 Billing Determinants'!A:A,0))</f>
        <v>888138.23</v>
      </c>
      <c r="P37" s="32" t="s">
        <v>729</v>
      </c>
      <c r="Q37" s="39">
        <f t="shared" si="9"/>
        <v>1.1238826093584326</v>
      </c>
      <c r="R37" s="8"/>
      <c r="S37" s="105">
        <f>+O37*Q37</f>
        <v>998163.11140337982</v>
      </c>
      <c r="T37" s="8"/>
      <c r="U37" s="32">
        <f t="shared" si="10"/>
        <v>38557.089894960984</v>
      </c>
      <c r="V37" s="41">
        <f t="shared" si="11"/>
        <v>4.0180125000000025E-2</v>
      </c>
    </row>
    <row r="38" spans="1:22" x14ac:dyDescent="0.25">
      <c r="A38" s="59"/>
      <c r="B38" s="59"/>
      <c r="D38" s="57">
        <v>21</v>
      </c>
      <c r="E38" s="20" t="s">
        <v>330</v>
      </c>
      <c r="F38" s="35"/>
      <c r="G38" s="8"/>
      <c r="H38" s="33">
        <f>+SUM(H36:H37)</f>
        <v>1007138.74</v>
      </c>
      <c r="I38" s="32" t="s">
        <v>729</v>
      </c>
      <c r="J38" s="39"/>
      <c r="K38" s="32"/>
      <c r="L38" s="100">
        <f>+SUM(L36:L37)</f>
        <v>1088182.4098467214</v>
      </c>
      <c r="M38" s="32"/>
      <c r="N38" s="42"/>
      <c r="O38" s="33">
        <f>+SUM(O36:O37)</f>
        <v>1007138.74</v>
      </c>
      <c r="P38" s="32" t="s">
        <v>729</v>
      </c>
      <c r="Q38" s="39"/>
      <c r="R38" s="32"/>
      <c r="S38" s="100">
        <f>+SUM(S36:S37)</f>
        <v>1131905.715097164</v>
      </c>
      <c r="T38" s="32"/>
      <c r="U38" s="32">
        <f t="shared" si="10"/>
        <v>43723.305250442587</v>
      </c>
      <c r="V38" s="41">
        <f t="shared" si="11"/>
        <v>4.018012500000008E-2</v>
      </c>
    </row>
    <row r="39" spans="1:22" x14ac:dyDescent="0.25">
      <c r="A39" s="59"/>
      <c r="B39" s="59"/>
      <c r="D39" s="57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 x14ac:dyDescent="0.25">
      <c r="A40" s="59"/>
      <c r="B40" s="59"/>
      <c r="D40" s="57">
        <v>23</v>
      </c>
      <c r="E40" s="8" t="s">
        <v>444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 x14ac:dyDescent="0.25">
      <c r="A41" s="59" t="s">
        <v>206</v>
      </c>
      <c r="B41" s="59" t="s">
        <v>688</v>
      </c>
      <c r="D41" s="57">
        <v>24</v>
      </c>
      <c r="E41" s="31" t="s">
        <v>387</v>
      </c>
      <c r="F41" s="8"/>
      <c r="G41" s="8"/>
      <c r="H41" s="32">
        <f>+INDEX('2025 Billing Determinants'!B:B,MATCH('2027 GSLDPR Rate Class E-13c'!A41,'2025 Billing Determinants'!A:A,0))</f>
        <v>8645931.6999999993</v>
      </c>
      <c r="I41" s="8" t="s">
        <v>839</v>
      </c>
      <c r="J41" s="48">
        <f>+INDEX('2026 Base Rates'!E:E,MATCH('2027 GSLDPR Rate Class E-13c'!B41,'2026 Base Rates'!D:D,0))</f>
        <v>2.1503456065000001E-3</v>
      </c>
      <c r="K41" s="8"/>
      <c r="L41" s="32">
        <f>+H41*J41</f>
        <v>18591.741245194076</v>
      </c>
      <c r="M41" s="8"/>
      <c r="N41" s="57"/>
      <c r="O41" s="213">
        <f>+INDEX('2025 Billing Determinants'!B:B,MATCH('2027 GSLDPR Rate Class E-13c'!A41,'2025 Billing Determinants'!A:A,0))</f>
        <v>8645931.6999999993</v>
      </c>
      <c r="P41" s="8" t="s">
        <v>839</v>
      </c>
      <c r="Q41" s="48">
        <f t="shared" ref="Q41:Q42" si="12">+J41*(1+$B$7)</f>
        <v>2.236746761762371E-3</v>
      </c>
      <c r="R41" s="8"/>
      <c r="S41" s="32">
        <f>+O41*Q41</f>
        <v>19338.759732393632</v>
      </c>
      <c r="T41" s="8"/>
      <c r="U41" s="32">
        <f t="shared" ref="U41:U43" si="13">+S41-L41</f>
        <v>747.01848719955524</v>
      </c>
      <c r="V41" s="41">
        <f t="shared" ref="V41:V43" si="14">+IF(U41=0,0,(S41-L41)/L41)</f>
        <v>4.0180125000000087E-2</v>
      </c>
    </row>
    <row r="42" spans="1:22" ht="16.5" x14ac:dyDescent="0.35">
      <c r="A42" s="59" t="s">
        <v>224</v>
      </c>
      <c r="B42" s="59" t="s">
        <v>689</v>
      </c>
      <c r="D42" s="57">
        <v>25</v>
      </c>
      <c r="E42" s="31" t="s">
        <v>734</v>
      </c>
      <c r="F42" s="8"/>
      <c r="G42" s="8"/>
      <c r="H42" s="105">
        <f>+INDEX('2025 Billing Determinants'!B:B,MATCH('2027 GSLDPR Rate Class E-13c'!A42,'2025 Billing Determinants'!A:A,0))</f>
        <v>27333710.02</v>
      </c>
      <c r="I42" s="8" t="s">
        <v>839</v>
      </c>
      <c r="J42" s="48">
        <f>+INDEX('2026 Base Rates'!E:E,MATCH('2027 GSLDPR Rate Class E-13c'!B42,'2026 Base Rates'!D:D,0))</f>
        <v>2.1503456065000001E-3</v>
      </c>
      <c r="K42" s="8"/>
      <c r="L42" s="105">
        <f>+H42*J42</f>
        <v>58776.923250852029</v>
      </c>
      <c r="M42" s="8"/>
      <c r="N42" s="57"/>
      <c r="O42" s="214">
        <f>+INDEX('2025 Billing Determinants'!B:B,MATCH('2027 GSLDPR Rate Class E-13c'!A42,'2025 Billing Determinants'!A:A,0))</f>
        <v>27333710.02</v>
      </c>
      <c r="P42" s="8" t="s">
        <v>839</v>
      </c>
      <c r="Q42" s="48">
        <f t="shared" si="12"/>
        <v>2.236746761762371E-3</v>
      </c>
      <c r="R42" s="8"/>
      <c r="S42" s="105">
        <f>+O42*Q42</f>
        <v>61138.587374186674</v>
      </c>
      <c r="T42" s="32"/>
      <c r="U42" s="32">
        <f t="shared" si="13"/>
        <v>2361.6641233346454</v>
      </c>
      <c r="V42" s="41">
        <f t="shared" si="14"/>
        <v>4.018012500000008E-2</v>
      </c>
    </row>
    <row r="43" spans="1:22" x14ac:dyDescent="0.25">
      <c r="A43" s="59"/>
      <c r="B43" s="59"/>
      <c r="D43" s="57">
        <v>26</v>
      </c>
      <c r="E43" s="8"/>
      <c r="F43" s="8"/>
      <c r="G43" s="8"/>
      <c r="H43" s="33">
        <f>+SUM(H41:H42)</f>
        <v>35979641.719999999</v>
      </c>
      <c r="I43" s="8" t="s">
        <v>839</v>
      </c>
      <c r="J43" s="8"/>
      <c r="K43" s="8"/>
      <c r="L43" s="100">
        <f>+SUM(L41:L42)</f>
        <v>77368.664496046113</v>
      </c>
      <c r="M43" s="8"/>
      <c r="N43" s="57"/>
      <c r="O43" s="33">
        <f>+SUM(O41:O42)</f>
        <v>35979641.719999999</v>
      </c>
      <c r="P43" s="8" t="s">
        <v>839</v>
      </c>
      <c r="Q43" s="8"/>
      <c r="R43" s="8"/>
      <c r="S43" s="100">
        <f>+SUM(S41:S42)</f>
        <v>80477.347106580302</v>
      </c>
      <c r="T43" s="32"/>
      <c r="U43" s="32">
        <f t="shared" si="13"/>
        <v>3108.6826105341897</v>
      </c>
      <c r="V43" s="41">
        <f t="shared" si="14"/>
        <v>4.0180124999999935E-2</v>
      </c>
    </row>
    <row r="44" spans="1:22" x14ac:dyDescent="0.25">
      <c r="A44" s="59"/>
      <c r="B44" s="59"/>
      <c r="D44" s="57">
        <v>27</v>
      </c>
      <c r="E44" s="8" t="s">
        <v>445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 x14ac:dyDescent="0.25">
      <c r="A45" s="59" t="s">
        <v>207</v>
      </c>
      <c r="B45" s="59" t="s">
        <v>690</v>
      </c>
      <c r="D45" s="57">
        <v>28</v>
      </c>
      <c r="E45" s="31" t="s">
        <v>387</v>
      </c>
      <c r="F45" s="8"/>
      <c r="G45" s="8"/>
      <c r="H45" s="32">
        <f>+INDEX('2025 Billing Determinants'!B:B,MATCH('2027 GSLDPR Rate Class E-13c'!A45,'2025 Billing Determinants'!A:A,0))</f>
        <v>36511132.229999997</v>
      </c>
      <c r="I45" s="8" t="s">
        <v>839</v>
      </c>
      <c r="J45" s="48">
        <f>+INDEX('2026 Base Rates'!E:E,MATCH('2027 GSLDPR Rate Class E-13c'!B45,'2026 Base Rates'!D:D,0))</f>
        <v>-1.0804692210000001E-3</v>
      </c>
      <c r="K45" s="8"/>
      <c r="L45" s="32">
        <f>+H45*J45</f>
        <v>-39449.154598376095</v>
      </c>
      <c r="M45" s="8"/>
      <c r="N45" s="57"/>
      <c r="O45" s="213">
        <f>+INDEX('2025 Billing Determinants'!B:B,MATCH('2027 GSLDPR Rate Class E-13c'!A45,'2025 Billing Determinants'!A:A,0))</f>
        <v>36511132.229999997</v>
      </c>
      <c r="P45" s="8" t="s">
        <v>839</v>
      </c>
      <c r="Q45" s="48">
        <f t="shared" ref="Q45:Q46" si="15">+J45*(1+$B$7)</f>
        <v>-1.1238826093584327E-3</v>
      </c>
      <c r="R45" s="8"/>
      <c r="S45" s="32">
        <f>+O45*Q45</f>
        <v>-41034.226561283169</v>
      </c>
      <c r="T45" s="8"/>
      <c r="U45" s="32">
        <f t="shared" ref="U45:U47" si="16">+S45-L45</f>
        <v>-1585.0719629070736</v>
      </c>
      <c r="V45" s="41">
        <f t="shared" ref="V45:V47" si="17">+IF(U45=0,0,(S45-L45)/L45)</f>
        <v>4.0180124999999935E-2</v>
      </c>
    </row>
    <row r="46" spans="1:22" ht="16.5" x14ac:dyDescent="0.35">
      <c r="A46" s="59" t="s">
        <v>225</v>
      </c>
      <c r="B46" s="59" t="s">
        <v>691</v>
      </c>
      <c r="D46" s="57">
        <v>29</v>
      </c>
      <c r="E46" s="8" t="s">
        <v>734</v>
      </c>
      <c r="F46" s="8"/>
      <c r="G46" s="8"/>
      <c r="H46" s="105">
        <f>+INDEX('2025 Billing Determinants'!B:B,MATCH('2027 GSLDPR Rate Class E-13c'!A46,'2025 Billing Determinants'!A:A,0))</f>
        <v>109235089.39</v>
      </c>
      <c r="I46" s="8" t="s">
        <v>839</v>
      </c>
      <c r="J46" s="48">
        <f>+INDEX('2026 Base Rates'!E:E,MATCH('2027 GSLDPR Rate Class E-13c'!B46,'2026 Base Rates'!D:D,0))</f>
        <v>-1.0804692210000001E-3</v>
      </c>
      <c r="K46" s="8"/>
      <c r="L46" s="214">
        <f>+H46*J46</f>
        <v>-118025.15193907869</v>
      </c>
      <c r="M46" s="8"/>
      <c r="N46" s="57"/>
      <c r="O46" s="214">
        <f>+INDEX('2025 Billing Determinants'!B:B,MATCH('2027 GSLDPR Rate Class E-13c'!A46,'2025 Billing Determinants'!A:A,0))</f>
        <v>109235089.39</v>
      </c>
      <c r="P46" s="8" t="s">
        <v>839</v>
      </c>
      <c r="Q46" s="48">
        <f t="shared" si="15"/>
        <v>-1.1238826093584327E-3</v>
      </c>
      <c r="R46" s="8"/>
      <c r="S46" s="214">
        <f>+O46*Q46</f>
        <v>-122767.41729713485</v>
      </c>
      <c r="T46" s="8"/>
      <c r="U46" s="32">
        <f t="shared" si="16"/>
        <v>-4742.26535805616</v>
      </c>
      <c r="V46" s="41">
        <f t="shared" si="17"/>
        <v>4.0180124999999879E-2</v>
      </c>
    </row>
    <row r="47" spans="1:22" x14ac:dyDescent="0.25">
      <c r="A47" s="59"/>
      <c r="B47" s="59"/>
      <c r="D47" s="57">
        <v>30</v>
      </c>
      <c r="E47" s="8" t="s">
        <v>330</v>
      </c>
      <c r="F47" s="8"/>
      <c r="G47" s="8"/>
      <c r="H47" s="33">
        <f>+SUM(H45:H46)</f>
        <v>145746221.62</v>
      </c>
      <c r="I47" s="8"/>
      <c r="J47" s="8"/>
      <c r="K47" s="8"/>
      <c r="L47" s="49">
        <f>+SUM(L45:L46)</f>
        <v>-157474.30653745477</v>
      </c>
      <c r="M47" s="8"/>
      <c r="N47" s="57"/>
      <c r="O47" s="33">
        <f>+SUM(O45:O46)</f>
        <v>145746221.62</v>
      </c>
      <c r="P47" s="8"/>
      <c r="Q47" s="8"/>
      <c r="R47" s="8"/>
      <c r="S47" s="49">
        <f>+SUM(S45:S46)</f>
        <v>-163801.64385841801</v>
      </c>
      <c r="T47" s="8"/>
      <c r="U47" s="32">
        <f t="shared" si="16"/>
        <v>-6327.3373209632409</v>
      </c>
      <c r="V47" s="41">
        <f t="shared" si="17"/>
        <v>4.0180124999999942E-2</v>
      </c>
    </row>
    <row r="48" spans="1:22" x14ac:dyDescent="0.25">
      <c r="A48" s="59"/>
      <c r="B48" s="59"/>
      <c r="D48" s="57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39"/>
      <c r="R48" s="32"/>
      <c r="S48" s="32"/>
      <c r="T48" s="32"/>
      <c r="U48" s="32"/>
      <c r="V48" s="43"/>
    </row>
    <row r="49" spans="1:22" x14ac:dyDescent="0.25">
      <c r="A49" s="59"/>
      <c r="B49" s="59"/>
      <c r="D49" s="57">
        <v>32</v>
      </c>
      <c r="E49" s="8" t="s">
        <v>811</v>
      </c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 x14ac:dyDescent="0.25">
      <c r="A50" s="59"/>
      <c r="B50" s="59" t="s">
        <v>694</v>
      </c>
      <c r="D50" s="57">
        <v>33</v>
      </c>
      <c r="E50" s="31" t="s">
        <v>387</v>
      </c>
      <c r="F50" s="8"/>
      <c r="G50" s="8"/>
      <c r="H50" s="213">
        <v>0</v>
      </c>
      <c r="I50" s="8" t="s">
        <v>806</v>
      </c>
      <c r="J50" s="72">
        <f>+INDEX('2026 Base Rates'!E:E,MATCH('2027 GSLDPR Rate Class E-13c'!B50,'2026 Base Rates'!D:D,0))</f>
        <v>-0.01</v>
      </c>
      <c r="K50" s="8"/>
      <c r="L50" s="32">
        <f>+H50*J50</f>
        <v>0</v>
      </c>
      <c r="M50" s="8"/>
      <c r="N50" s="57"/>
      <c r="O50" s="213">
        <v>0</v>
      </c>
      <c r="P50" s="8" t="s">
        <v>806</v>
      </c>
      <c r="Q50" s="72">
        <f>+J50</f>
        <v>-0.01</v>
      </c>
      <c r="R50" s="8"/>
      <c r="S50" s="32">
        <f>+O50*Q50</f>
        <v>0</v>
      </c>
      <c r="T50" s="8"/>
      <c r="U50" s="32">
        <f t="shared" ref="U50:U52" si="18">+S50-L50</f>
        <v>0</v>
      </c>
      <c r="V50" s="41">
        <f t="shared" ref="V50:V52" si="19">+IF(U50=0,0,(S50-L50)/L50)</f>
        <v>0</v>
      </c>
    </row>
    <row r="51" spans="1:22" x14ac:dyDescent="0.25">
      <c r="A51" s="59"/>
      <c r="B51" s="59" t="s">
        <v>695</v>
      </c>
      <c r="D51" s="57">
        <v>34</v>
      </c>
      <c r="E51" s="8" t="s">
        <v>734</v>
      </c>
      <c r="F51" s="8"/>
      <c r="G51" s="8"/>
      <c r="H51" s="214">
        <v>0</v>
      </c>
      <c r="I51" s="8" t="s">
        <v>806</v>
      </c>
      <c r="J51" s="72">
        <f>+INDEX('2026 Base Rates'!E:E,MATCH('2027 GSLDPR Rate Class E-13c'!B51,'2026 Base Rates'!D:D,0))</f>
        <v>-0.01</v>
      </c>
      <c r="K51" s="8"/>
      <c r="L51" s="214">
        <f>+H51*J51</f>
        <v>0</v>
      </c>
      <c r="M51" s="8"/>
      <c r="N51" s="57"/>
      <c r="O51" s="214">
        <v>0</v>
      </c>
      <c r="P51" s="8" t="s">
        <v>806</v>
      </c>
      <c r="Q51" s="72">
        <f>+J51</f>
        <v>-0.01</v>
      </c>
      <c r="R51" s="8"/>
      <c r="S51" s="214">
        <f>+O51*Q51</f>
        <v>0</v>
      </c>
      <c r="T51" s="8"/>
      <c r="U51" s="32">
        <f t="shared" si="18"/>
        <v>0</v>
      </c>
      <c r="V51" s="41">
        <f t="shared" si="19"/>
        <v>0</v>
      </c>
    </row>
    <row r="52" spans="1:22" x14ac:dyDescent="0.25">
      <c r="D52" s="57">
        <v>35</v>
      </c>
      <c r="E52" s="8" t="s">
        <v>330</v>
      </c>
      <c r="F52" s="8"/>
      <c r="G52" s="8"/>
      <c r="H52" s="213">
        <f>+SUM(H50:H51)</f>
        <v>0</v>
      </c>
      <c r="I52" s="8" t="s">
        <v>806</v>
      </c>
      <c r="J52" s="8"/>
      <c r="K52" s="8"/>
      <c r="L52" s="49">
        <f>+SUM(L50:L51)</f>
        <v>0</v>
      </c>
      <c r="M52" s="8"/>
      <c r="N52" s="57"/>
      <c r="O52" s="213">
        <f>+SUM(O50:O51)</f>
        <v>0</v>
      </c>
      <c r="P52" s="8" t="s">
        <v>806</v>
      </c>
      <c r="Q52" s="8"/>
      <c r="R52" s="8"/>
      <c r="S52" s="49">
        <f>+SUM(S50:S51)</f>
        <v>0</v>
      </c>
      <c r="T52" s="8"/>
      <c r="U52" s="32">
        <f t="shared" si="18"/>
        <v>0</v>
      </c>
      <c r="V52" s="41">
        <f t="shared" si="19"/>
        <v>0</v>
      </c>
    </row>
    <row r="53" spans="1:22" x14ac:dyDescent="0.25">
      <c r="D53" s="57">
        <v>36</v>
      </c>
    </row>
    <row r="54" spans="1:22" ht="15.75" thickBot="1" x14ac:dyDescent="0.3">
      <c r="D54" s="57">
        <v>37</v>
      </c>
      <c r="E54" s="31" t="s">
        <v>336</v>
      </c>
      <c r="F54" s="31"/>
      <c r="G54" s="8"/>
      <c r="H54" s="8"/>
      <c r="I54" s="32"/>
      <c r="J54" s="32"/>
      <c r="K54" s="32"/>
      <c r="L54" s="103">
        <f>+L20+L27+L33+L38+L43+L47+L52</f>
        <v>49704548.169002153</v>
      </c>
      <c r="M54" s="32"/>
      <c r="N54" s="42"/>
      <c r="O54" s="32"/>
      <c r="P54" s="32"/>
      <c r="Q54" s="32"/>
      <c r="R54" s="32"/>
      <c r="S54" s="103">
        <f>+S20+S27+S33+S38+S43+S47+S52</f>
        <v>51701683.127501197</v>
      </c>
      <c r="T54" s="8"/>
      <c r="U54" s="32">
        <f>+S54-L54</f>
        <v>1997134.9584990442</v>
      </c>
      <c r="V54" s="41">
        <f>+IF(U54=0,0,(S54-L54)/L54)</f>
        <v>4.018012500000033E-2</v>
      </c>
    </row>
    <row r="55" spans="1:22" ht="16.5" thickTop="1" thickBot="1" x14ac:dyDescent="0.3">
      <c r="D55" s="58">
        <v>39</v>
      </c>
      <c r="E55" s="9" t="s">
        <v>742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304</v>
      </c>
    </row>
    <row r="57" spans="1:22" x14ac:dyDescent="0.25">
      <c r="D57" s="8"/>
      <c r="E57" s="8"/>
      <c r="F57" s="8"/>
      <c r="G57" s="8"/>
      <c r="H57" s="8"/>
      <c r="I57" s="8"/>
      <c r="J57" s="8"/>
      <c r="K57" s="378"/>
      <c r="L57" s="378"/>
      <c r="M57" s="378"/>
      <c r="N57" s="378"/>
      <c r="O57" s="378"/>
      <c r="P57" s="8"/>
      <c r="Q57" s="8"/>
      <c r="R57" s="8"/>
      <c r="S57" s="8"/>
      <c r="T57" s="8"/>
      <c r="U57" s="8"/>
      <c r="V57" s="8"/>
    </row>
    <row r="58" spans="1:22" ht="15.75" thickBot="1" x14ac:dyDescent="0.3">
      <c r="D58" s="9" t="s">
        <v>305</v>
      </c>
      <c r="E58" s="9"/>
      <c r="F58" s="9"/>
      <c r="G58" s="9"/>
      <c r="H58" s="9"/>
      <c r="I58" s="9"/>
      <c r="J58" s="9"/>
      <c r="K58" s="379" t="s">
        <v>306</v>
      </c>
      <c r="L58" s="379"/>
      <c r="M58" s="379"/>
      <c r="N58" s="379"/>
      <c r="O58" s="379"/>
      <c r="P58" s="9"/>
      <c r="Q58" s="9"/>
      <c r="R58" s="9"/>
      <c r="S58" s="9"/>
      <c r="T58" s="9"/>
      <c r="U58" s="9"/>
      <c r="V58" s="13" t="s">
        <v>884</v>
      </c>
    </row>
    <row r="59" spans="1:22" x14ac:dyDescent="0.25">
      <c r="D59" s="8" t="s">
        <v>307</v>
      </c>
      <c r="E59" s="8"/>
      <c r="F59" s="8"/>
      <c r="G59" s="8"/>
      <c r="H59" s="8" t="s">
        <v>308</v>
      </c>
      <c r="I59" s="8"/>
      <c r="J59" s="8" t="s">
        <v>910</v>
      </c>
      <c r="K59" s="8"/>
      <c r="L59" s="8"/>
      <c r="M59" s="8"/>
      <c r="N59" s="98"/>
      <c r="O59" s="99"/>
      <c r="P59" s="8"/>
      <c r="Q59" s="8"/>
      <c r="R59" s="99"/>
      <c r="S59" s="99" t="s">
        <v>309</v>
      </c>
      <c r="T59" s="8"/>
      <c r="U59" s="8"/>
      <c r="V59" s="10"/>
    </row>
    <row r="60" spans="1:22" x14ac:dyDescent="0.25">
      <c r="D60" s="8"/>
      <c r="E60" s="8"/>
      <c r="F60" s="8"/>
      <c r="G60" s="8"/>
      <c r="H60" s="8"/>
      <c r="I60" s="8"/>
      <c r="J60" s="8" t="s">
        <v>911</v>
      </c>
      <c r="K60" s="8"/>
      <c r="L60" s="8"/>
      <c r="M60" s="8"/>
      <c r="N60" s="57"/>
      <c r="O60" s="10"/>
      <c r="P60" s="8"/>
      <c r="Q60" s="8"/>
      <c r="R60" s="11"/>
      <c r="S60" s="11"/>
      <c r="T60" s="117" t="s">
        <v>916</v>
      </c>
      <c r="U60" s="116" t="s">
        <v>1512</v>
      </c>
      <c r="V60" s="11"/>
    </row>
    <row r="61" spans="1:22" x14ac:dyDescent="0.25">
      <c r="D61" s="8" t="s">
        <v>310</v>
      </c>
      <c r="E61" s="8"/>
      <c r="F61" s="8"/>
      <c r="G61" s="8"/>
      <c r="H61" s="8"/>
      <c r="I61" s="8"/>
      <c r="J61" s="8" t="s">
        <v>912</v>
      </c>
      <c r="K61" s="8"/>
      <c r="L61" s="8"/>
      <c r="M61" s="8"/>
      <c r="N61" s="57"/>
      <c r="O61" s="10"/>
      <c r="P61" s="11"/>
      <c r="Q61" s="8"/>
      <c r="R61" s="8"/>
      <c r="S61" s="11"/>
      <c r="T61" s="265"/>
      <c r="U61" s="116"/>
      <c r="V61" s="11"/>
    </row>
    <row r="62" spans="1:22" x14ac:dyDescent="0.25">
      <c r="D62" s="8"/>
      <c r="E62" s="8"/>
      <c r="F62" s="8"/>
      <c r="G62" s="8"/>
      <c r="H62" s="8"/>
      <c r="I62" s="8"/>
      <c r="J62" s="8" t="s">
        <v>913</v>
      </c>
      <c r="K62" s="8"/>
      <c r="L62" s="8"/>
      <c r="M62" s="8"/>
      <c r="N62" s="57"/>
      <c r="O62" s="10"/>
      <c r="P62" s="11"/>
      <c r="Q62" s="8"/>
      <c r="R62" s="8"/>
      <c r="S62" s="11"/>
      <c r="T62" s="265"/>
      <c r="U62" s="116"/>
      <c r="V62" s="11"/>
    </row>
    <row r="63" spans="1:22" x14ac:dyDescent="0.25">
      <c r="D63" s="8"/>
      <c r="E63" s="8"/>
      <c r="F63" s="11"/>
      <c r="G63" s="8"/>
      <c r="H63" s="8"/>
      <c r="I63" s="8"/>
      <c r="J63" s="8" t="s">
        <v>914</v>
      </c>
      <c r="K63" s="12"/>
      <c r="L63" s="12"/>
      <c r="M63" s="12"/>
      <c r="N63" s="57"/>
      <c r="O63" s="8"/>
      <c r="P63" s="8"/>
      <c r="Q63" s="8"/>
      <c r="R63" s="8"/>
      <c r="S63" s="8"/>
      <c r="T63" s="265"/>
      <c r="V63" s="8"/>
    </row>
    <row r="64" spans="1:22" ht="15.75" thickBot="1" x14ac:dyDescent="0.3">
      <c r="D64" s="9" t="s">
        <v>1292</v>
      </c>
      <c r="E64" s="9"/>
      <c r="F64" s="13"/>
      <c r="G64" s="14"/>
      <c r="H64" s="14"/>
      <c r="I64" s="14"/>
      <c r="J64" s="15" t="s">
        <v>915</v>
      </c>
      <c r="K64" s="14"/>
      <c r="L64" s="14"/>
      <c r="M64" s="14"/>
      <c r="N64" s="14"/>
      <c r="O64" s="14"/>
      <c r="P64" s="14"/>
      <c r="Q64" s="15"/>
      <c r="R64" s="14"/>
      <c r="S64" s="14"/>
      <c r="T64" s="14"/>
      <c r="U64" s="114" t="s">
        <v>1519</v>
      </c>
      <c r="V64" s="14"/>
    </row>
    <row r="65" spans="1:22" x14ac:dyDescent="0.25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12"/>
      <c r="R65" s="8"/>
      <c r="S65" s="8"/>
      <c r="T65" s="8"/>
      <c r="U65" s="8"/>
      <c r="V65" s="8"/>
    </row>
    <row r="66" spans="1:22" x14ac:dyDescent="0.25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25">
      <c r="D67" s="8"/>
      <c r="E67" s="8"/>
      <c r="F67" s="8"/>
      <c r="G67" s="8"/>
      <c r="H67" s="8"/>
      <c r="I67" s="16"/>
      <c r="J67" s="16"/>
      <c r="K67" s="17"/>
      <c r="L67" s="17" t="s">
        <v>311</v>
      </c>
      <c r="M67" s="12"/>
      <c r="N67" s="18" t="s">
        <v>744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25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D69" s="57" t="s">
        <v>313</v>
      </c>
      <c r="E69" s="196" t="s">
        <v>314</v>
      </c>
      <c r="F69" s="20"/>
      <c r="G69" s="21"/>
      <c r="H69" s="22"/>
      <c r="I69" s="22"/>
      <c r="J69" s="23" t="s">
        <v>315</v>
      </c>
      <c r="K69" s="22"/>
      <c r="L69" s="22"/>
      <c r="M69" s="20"/>
      <c r="N69" s="24"/>
      <c r="O69" s="22"/>
      <c r="P69" s="23"/>
      <c r="Q69" s="23" t="s">
        <v>316</v>
      </c>
      <c r="R69" s="22"/>
      <c r="S69" s="22"/>
      <c r="T69" s="20"/>
      <c r="U69" s="25" t="s">
        <v>317</v>
      </c>
      <c r="V69" s="25" t="s">
        <v>318</v>
      </c>
    </row>
    <row r="70" spans="1:22" ht="15.75" thickBot="1" x14ac:dyDescent="0.3">
      <c r="A70" s="85" t="s">
        <v>551</v>
      </c>
      <c r="B70" s="85" t="s">
        <v>552</v>
      </c>
      <c r="D70" s="58" t="s">
        <v>319</v>
      </c>
      <c r="E70" s="192" t="s">
        <v>320</v>
      </c>
      <c r="F70" s="27"/>
      <c r="G70" s="9"/>
      <c r="H70" s="58" t="s">
        <v>321</v>
      </c>
      <c r="I70" s="28"/>
      <c r="J70" s="28" t="s">
        <v>322</v>
      </c>
      <c r="K70" s="28"/>
      <c r="L70" s="28" t="s">
        <v>323</v>
      </c>
      <c r="M70" s="28"/>
      <c r="N70" s="28"/>
      <c r="O70" s="28" t="s">
        <v>321</v>
      </c>
      <c r="P70" s="28"/>
      <c r="Q70" s="28" t="s">
        <v>322</v>
      </c>
      <c r="R70" s="28"/>
      <c r="S70" s="28" t="s">
        <v>323</v>
      </c>
      <c r="T70" s="27"/>
      <c r="U70" s="29" t="s">
        <v>324</v>
      </c>
      <c r="V70" s="29" t="s">
        <v>325</v>
      </c>
    </row>
    <row r="71" spans="1:22" x14ac:dyDescent="0.25"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25">
      <c r="A72" s="59"/>
      <c r="B72" s="59"/>
      <c r="D72" s="57">
        <v>2</v>
      </c>
      <c r="E72" s="31" t="s">
        <v>326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 x14ac:dyDescent="0.25">
      <c r="A73" s="59" t="s">
        <v>236</v>
      </c>
      <c r="B73" s="59" t="s">
        <v>620</v>
      </c>
      <c r="D73" s="57">
        <v>3</v>
      </c>
      <c r="E73" s="193" t="s">
        <v>745</v>
      </c>
      <c r="F73" s="8"/>
      <c r="G73" s="8"/>
      <c r="H73" s="8">
        <f>+INDEX('2025 Billing Determinants'!B:B,MATCH('2027 GSLDPR Rate Class E-13c'!A73,'2025 Billing Determinants'!A:A,0))</f>
        <v>0</v>
      </c>
      <c r="I73" s="32" t="s">
        <v>328</v>
      </c>
      <c r="J73" s="47">
        <f>+INDEX('2026 Base Rates'!E:E,MATCH('2027 GSLDPR Rate Class E-13c'!B73,'2026 Base Rates'!D:D,0))</f>
        <v>23.558466151999998</v>
      </c>
      <c r="K73" s="8"/>
      <c r="L73" s="32">
        <f>+H73*J73</f>
        <v>0</v>
      </c>
      <c r="M73" s="8"/>
      <c r="N73" s="57"/>
      <c r="O73" s="8">
        <f>+INDEX('2025 Billing Determinants'!B:B,MATCH('2027 GSLDPR Rate Class E-13c'!A73,'2025 Billing Determinants'!A:A,0))</f>
        <v>0</v>
      </c>
      <c r="P73" s="32" t="s">
        <v>328</v>
      </c>
      <c r="Q73" s="47">
        <f t="shared" ref="Q73:Q74" si="20">+J73*(1+$B$7)</f>
        <v>24.505048266795626</v>
      </c>
      <c r="R73" s="8"/>
      <c r="S73" s="32">
        <f>+O73*Q73</f>
        <v>0</v>
      </c>
      <c r="T73" s="8"/>
      <c r="U73" s="32">
        <f t="shared" ref="U73:U75" si="21">+S73-L73</f>
        <v>0</v>
      </c>
      <c r="V73" s="41">
        <f t="shared" ref="V73:V75" si="22">+IF(U73=0,0,(S73-L73)/L73)</f>
        <v>0</v>
      </c>
    </row>
    <row r="74" spans="1:22" ht="16.5" x14ac:dyDescent="0.35">
      <c r="A74" s="59" t="s">
        <v>260</v>
      </c>
      <c r="B74" s="59" t="s">
        <v>621</v>
      </c>
      <c r="D74" s="57">
        <v>4</v>
      </c>
      <c r="E74" s="8" t="s">
        <v>746</v>
      </c>
      <c r="F74" s="31"/>
      <c r="G74" s="8"/>
      <c r="H74" s="104">
        <f>+INDEX('2025 Billing Determinants'!B:B,MATCH('2027 GSLDPR Rate Class E-13c'!A74,'2025 Billing Determinants'!A:A,0))</f>
        <v>358</v>
      </c>
      <c r="I74" s="32" t="s">
        <v>328</v>
      </c>
      <c r="J74" s="47">
        <f>+INDEX('2026 Base Rates'!E:E,MATCH('2027 GSLDPR Rate Class E-13c'!B74,'2026 Base Rates'!D:D,0))</f>
        <v>23.558466151999998</v>
      </c>
      <c r="K74" s="32"/>
      <c r="L74" s="105">
        <f>+H74*J74</f>
        <v>8433.9308824159998</v>
      </c>
      <c r="M74" s="33"/>
      <c r="N74" s="42"/>
      <c r="O74" s="104">
        <f>+INDEX('2025 Billing Determinants'!B:B,MATCH('2027 GSLDPR Rate Class E-13c'!A74,'2025 Billing Determinants'!A:A,0))</f>
        <v>358</v>
      </c>
      <c r="P74" s="32" t="s">
        <v>328</v>
      </c>
      <c r="Q74" s="47">
        <f t="shared" si="20"/>
        <v>24.505048266795626</v>
      </c>
      <c r="R74" s="32"/>
      <c r="S74" s="105">
        <f>+O74*Q74</f>
        <v>8772.8072795128337</v>
      </c>
      <c r="T74" s="8"/>
      <c r="U74" s="32">
        <f t="shared" si="21"/>
        <v>338.8763970968339</v>
      </c>
      <c r="V74" s="41">
        <f t="shared" si="22"/>
        <v>4.0180124999999851E-2</v>
      </c>
    </row>
    <row r="75" spans="1:22" x14ac:dyDescent="0.25">
      <c r="A75" s="59"/>
      <c r="B75" s="59"/>
      <c r="D75" s="57">
        <v>5</v>
      </c>
      <c r="E75" s="31" t="s">
        <v>747</v>
      </c>
      <c r="F75" s="31"/>
      <c r="G75" s="8"/>
      <c r="H75" s="215">
        <f>+SUM(H73:H74)</f>
        <v>358</v>
      </c>
      <c r="I75" s="32" t="s">
        <v>341</v>
      </c>
      <c r="J75" s="47"/>
      <c r="K75" s="32"/>
      <c r="L75" s="100">
        <f>+SUM(L73:L74)</f>
        <v>8433.9308824159998</v>
      </c>
      <c r="M75" s="32"/>
      <c r="N75" s="42"/>
      <c r="O75" s="215">
        <f>+SUM(O73:O74)</f>
        <v>358</v>
      </c>
      <c r="P75" s="32" t="s">
        <v>341</v>
      </c>
      <c r="Q75" s="47"/>
      <c r="R75" s="32"/>
      <c r="S75" s="100">
        <f>+SUM(S73:S74)</f>
        <v>8772.8072795128337</v>
      </c>
      <c r="T75" s="8"/>
      <c r="U75" s="32">
        <f t="shared" si="21"/>
        <v>338.8763970968339</v>
      </c>
      <c r="V75" s="41">
        <f t="shared" si="22"/>
        <v>4.0180124999999851E-2</v>
      </c>
    </row>
    <row r="76" spans="1:22" x14ac:dyDescent="0.25">
      <c r="A76" s="59"/>
      <c r="B76" s="59"/>
      <c r="D76" s="57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 x14ac:dyDescent="0.25">
      <c r="A77" s="59"/>
      <c r="B77" s="59"/>
      <c r="D77" s="57">
        <v>7</v>
      </c>
      <c r="E77" s="31" t="s">
        <v>400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 x14ac:dyDescent="0.25">
      <c r="A78" s="59" t="s">
        <v>242</v>
      </c>
      <c r="B78" s="59" t="s">
        <v>611</v>
      </c>
      <c r="D78" s="57">
        <v>8</v>
      </c>
      <c r="E78" s="193" t="s">
        <v>745</v>
      </c>
      <c r="F78" s="8"/>
      <c r="G78" s="8"/>
      <c r="H78" s="8">
        <f>+INDEX('2025 Billing Determinants'!B:B,MATCH('2027 GSLDPR Rate Class E-13c'!A78,'2025 Billing Determinants'!A:A,0))</f>
        <v>0</v>
      </c>
      <c r="I78" s="32" t="s">
        <v>710</v>
      </c>
      <c r="J78" s="106">
        <f>+INDEX('2026 Base Rates'!E:E,MATCH('2027 GSLDPR Rate Class E-13c'!B78,'2026 Base Rates'!D:D,0))</f>
        <v>1.1258489282820002E-2</v>
      </c>
      <c r="K78" s="8"/>
      <c r="L78" s="32">
        <f>+H78*J78</f>
        <v>0</v>
      </c>
      <c r="M78" s="8"/>
      <c r="N78" s="57"/>
      <c r="O78" s="8">
        <f>+INDEX('2025 Billing Determinants'!B:B,MATCH('2027 GSLDPR Rate Class E-13c'!A78,'2025 Billing Determinants'!A:A,0))</f>
        <v>0</v>
      </c>
      <c r="P78" s="32" t="s">
        <v>710</v>
      </c>
      <c r="Q78" s="106">
        <f t="shared" ref="Q78:Q81" si="23">+J78*(1+$B$7)</f>
        <v>1.1710856789514871E-2</v>
      </c>
      <c r="R78" s="8"/>
      <c r="S78" s="32">
        <f>+O78*Q78</f>
        <v>0</v>
      </c>
      <c r="T78" s="8"/>
      <c r="U78" s="32">
        <f t="shared" ref="U78:U82" si="24">+S78-L78</f>
        <v>0</v>
      </c>
      <c r="V78" s="41">
        <f t="shared" ref="V78:V82" si="25">+IF(U78=0,0,(S78-L78)/L78)</f>
        <v>0</v>
      </c>
    </row>
    <row r="79" spans="1:22" x14ac:dyDescent="0.25">
      <c r="A79" s="59" t="s">
        <v>267</v>
      </c>
      <c r="B79" s="59" t="s">
        <v>622</v>
      </c>
      <c r="D79" s="57">
        <v>9</v>
      </c>
      <c r="E79" s="8" t="s">
        <v>748</v>
      </c>
      <c r="F79" s="8"/>
      <c r="G79" s="8"/>
      <c r="H79" s="33">
        <f>+INDEX('2025 Billing Determinants'!B:B,MATCH('2027 GSLDPR Rate Class E-13c'!A79,'2025 Billing Determinants'!A:A,0))</f>
        <v>2809721</v>
      </c>
      <c r="I79" s="32" t="s">
        <v>710</v>
      </c>
      <c r="J79" s="106">
        <f>+INDEX('2026 Base Rates'!E:E,MATCH('2027 GSLDPR Rate Class E-13c'!B79,'2026 Base Rates'!D:D,0))</f>
        <v>1.8270734527110002E-2</v>
      </c>
      <c r="K79" s="8"/>
      <c r="L79" s="32">
        <f>+H79*J79</f>
        <v>51335.666486246038</v>
      </c>
      <c r="M79" s="8"/>
      <c r="N79" s="57"/>
      <c r="O79" s="33">
        <f>+INDEX('2025 Billing Determinants'!B:B,MATCH('2027 GSLDPR Rate Class E-13c'!A79,'2025 Billing Determinants'!A:A,0))</f>
        <v>2809721</v>
      </c>
      <c r="P79" s="32" t="s">
        <v>710</v>
      </c>
      <c r="Q79" s="106">
        <f t="shared" si="23"/>
        <v>1.9004854924251097E-2</v>
      </c>
      <c r="R79" s="32"/>
      <c r="S79" s="32">
        <f>+O79*Q79</f>
        <v>53398.339982621721</v>
      </c>
      <c r="T79" s="8"/>
      <c r="U79" s="32">
        <f t="shared" si="24"/>
        <v>2062.6734963756826</v>
      </c>
      <c r="V79" s="41">
        <f t="shared" si="25"/>
        <v>4.0180125000000115E-2</v>
      </c>
    </row>
    <row r="80" spans="1:22" x14ac:dyDescent="0.25">
      <c r="A80" s="59" t="s">
        <v>268</v>
      </c>
      <c r="B80" s="59" t="s">
        <v>623</v>
      </c>
      <c r="D80" s="57">
        <v>10</v>
      </c>
      <c r="E80" s="8" t="s">
        <v>749</v>
      </c>
      <c r="F80" s="35"/>
      <c r="G80" s="8"/>
      <c r="H80" s="33">
        <f>+INDEX('2025 Billing Determinants'!B:B,MATCH('2027 GSLDPR Rate Class E-13c'!A80,'2025 Billing Determinants'!A:A,0))</f>
        <v>4768707</v>
      </c>
      <c r="I80" s="32" t="s">
        <v>710</v>
      </c>
      <c r="J80" s="106">
        <f>+INDEX('2026 Base Rates'!E:E,MATCH('2027 GSLDPR Rate Class E-13c'!B80,'2026 Base Rates'!D:D,0))</f>
        <v>1.1099384893610002E-2</v>
      </c>
      <c r="K80" s="8"/>
      <c r="L80" s="32">
        <f>+H80*J80</f>
        <v>52929.714437852272</v>
      </c>
      <c r="M80" s="8"/>
      <c r="N80" s="57"/>
      <c r="O80" s="33">
        <f>+INDEX('2025 Billing Determinants'!B:B,MATCH('2027 GSLDPR Rate Class E-13c'!A80,'2025 Billing Determinants'!A:A,0))</f>
        <v>4768707</v>
      </c>
      <c r="P80" s="32" t="s">
        <v>710</v>
      </c>
      <c r="Q80" s="106">
        <f t="shared" si="23"/>
        <v>1.1545359566058363E-2</v>
      </c>
      <c r="R80" s="32"/>
      <c r="S80" s="32">
        <f>+O80*Q80</f>
        <v>55056.436980179482</v>
      </c>
      <c r="T80" s="8"/>
      <c r="U80" s="32">
        <f t="shared" si="24"/>
        <v>2126.7225423272102</v>
      </c>
      <c r="V80" s="41">
        <f t="shared" si="25"/>
        <v>4.0180125000000025E-2</v>
      </c>
    </row>
    <row r="81" spans="1:22" ht="16.5" x14ac:dyDescent="0.35">
      <c r="A81" s="59" t="s">
        <v>906</v>
      </c>
      <c r="B81" s="59" t="s">
        <v>1244</v>
      </c>
      <c r="D81" s="57"/>
      <c r="E81" s="8" t="s">
        <v>1270</v>
      </c>
      <c r="F81" s="35"/>
      <c r="G81" s="8"/>
      <c r="H81" s="104">
        <f>+INDEX('2025 Billing Determinants'!B:B,MATCH('2027 GSLDPR Rate Class E-13c'!A81,'2025 Billing Determinants'!A:A,0))</f>
        <v>3917974</v>
      </c>
      <c r="I81" s="32" t="s">
        <v>710</v>
      </c>
      <c r="J81" s="106">
        <f>+INDEX('2026 Base Rates'!E:E,MATCH('2027 GSLDPR Rate Class E-13c'!B81,'2026 Base Rates'!D:D,0))</f>
        <v>6.671579654610002E-3</v>
      </c>
      <c r="K81" s="32"/>
      <c r="L81" s="105">
        <f>+H81*J81</f>
        <v>26139.075625690966</v>
      </c>
      <c r="M81" s="32"/>
      <c r="N81" s="42"/>
      <c r="O81" s="104">
        <f>+INDEX('2025 Billing Determinants'!B:B,MATCH('2027 GSLDPR Rate Class E-13c'!A81,'2025 Billing Determinants'!A:A,0))</f>
        <v>3917974</v>
      </c>
      <c r="P81" s="32" t="s">
        <v>710</v>
      </c>
      <c r="Q81" s="106">
        <f t="shared" si="23"/>
        <v>6.9396445590796888E-3</v>
      </c>
      <c r="R81" s="8"/>
      <c r="S81" s="105">
        <f>+O81*Q81</f>
        <v>27189.346951715685</v>
      </c>
      <c r="T81" s="8"/>
      <c r="U81" s="32">
        <f t="shared" ref="U81" si="26">+S81-L81</f>
        <v>1050.2713260247183</v>
      </c>
      <c r="V81" s="143">
        <f>IFERROR(+IF(U81=0,0,(S81-L81)/L81),"New Rate")</f>
        <v>4.018012500000008E-2</v>
      </c>
    </row>
    <row r="82" spans="1:22" x14ac:dyDescent="0.25">
      <c r="A82" s="59"/>
      <c r="B82" s="59"/>
      <c r="D82" s="57">
        <v>11</v>
      </c>
      <c r="E82" s="8" t="s">
        <v>750</v>
      </c>
      <c r="F82" s="35"/>
      <c r="G82" s="8"/>
      <c r="H82" s="33">
        <f>+SUM(H78:H81)</f>
        <v>11496402</v>
      </c>
      <c r="I82" s="32"/>
      <c r="J82" s="47"/>
      <c r="K82" s="32"/>
      <c r="L82" s="100">
        <f>+SUM(L78:L81)</f>
        <v>130404.45654978928</v>
      </c>
      <c r="M82" s="32"/>
      <c r="N82" s="42"/>
      <c r="O82" s="33">
        <f>+SUM(O78:O81)</f>
        <v>11496402</v>
      </c>
      <c r="P82" s="32"/>
      <c r="Q82" s="47"/>
      <c r="R82" s="8"/>
      <c r="S82" s="100">
        <f>+SUM(S78:S81)</f>
        <v>135644.12391451688</v>
      </c>
      <c r="T82" s="8"/>
      <c r="U82" s="32">
        <f t="shared" si="24"/>
        <v>5239.6673647276039</v>
      </c>
      <c r="V82" s="41">
        <f t="shared" si="25"/>
        <v>4.0180125000000018E-2</v>
      </c>
    </row>
    <row r="83" spans="1:22" x14ac:dyDescent="0.25">
      <c r="A83" s="59"/>
      <c r="B83" s="59"/>
      <c r="D83" s="57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 x14ac:dyDescent="0.25">
      <c r="A84" s="59"/>
      <c r="B84" s="59"/>
      <c r="D84" s="57">
        <v>13</v>
      </c>
      <c r="E84" s="31" t="s">
        <v>407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 x14ac:dyDescent="0.25">
      <c r="A85" s="59" t="s">
        <v>244</v>
      </c>
      <c r="B85" s="59" t="s">
        <v>612</v>
      </c>
      <c r="D85" s="57">
        <v>14</v>
      </c>
      <c r="E85" s="31" t="s">
        <v>745</v>
      </c>
      <c r="F85" s="8"/>
      <c r="G85" s="8"/>
      <c r="H85" s="8">
        <f>+INDEX('2025 Billing Determinants'!B:B,MATCH('2027 GSLDPR Rate Class E-13c'!A85,'2025 Billing Determinants'!A:A,0))</f>
        <v>0</v>
      </c>
      <c r="I85" s="32" t="s">
        <v>710</v>
      </c>
      <c r="J85" s="106">
        <f>+INDEX('2026 Base Rates'!E:E,MATCH('2027 GSLDPR Rate Class E-13c'!B85,'2026 Base Rates'!D:D,0))</f>
        <v>9.2596212239699997E-3</v>
      </c>
      <c r="K85" s="8"/>
      <c r="L85" s="33">
        <f>+H85*J85</f>
        <v>0</v>
      </c>
      <c r="M85" s="8"/>
      <c r="N85" s="57"/>
      <c r="O85" s="8">
        <f>+INDEX('2025 Billing Determinants'!B:B,MATCH('2027 GSLDPR Rate Class E-13c'!A85,'2025 Billing Determinants'!A:A,0))</f>
        <v>0</v>
      </c>
      <c r="P85" s="32" t="s">
        <v>710</v>
      </c>
      <c r="Q85" s="106">
        <f t="shared" ref="Q85:Q88" si="27">+J85*(1+$B$7)</f>
        <v>9.6316739622017665E-3</v>
      </c>
      <c r="R85" s="8"/>
      <c r="S85" s="33">
        <f>+O85*Q85</f>
        <v>0</v>
      </c>
      <c r="T85" s="8"/>
      <c r="U85" s="32">
        <f t="shared" ref="U85:U87" si="28">+S85-L85</f>
        <v>0</v>
      </c>
      <c r="V85" s="41">
        <f t="shared" ref="V85:V87" si="29">+IF(U85=0,0,(S85-L85)/L85)</f>
        <v>0</v>
      </c>
    </row>
    <row r="86" spans="1:22" x14ac:dyDescent="0.25">
      <c r="A86" s="59" t="s">
        <v>272</v>
      </c>
      <c r="B86" s="59" t="s">
        <v>624</v>
      </c>
      <c r="D86" s="57">
        <v>15</v>
      </c>
      <c r="E86" s="8" t="s">
        <v>748</v>
      </c>
      <c r="F86" s="8"/>
      <c r="G86" s="8"/>
      <c r="H86" s="33">
        <f>+INDEX('2025 Billing Determinants'!B:B,MATCH('2027 GSLDPR Rate Class E-13c'!A86,'2025 Billing Determinants'!A:A,0))</f>
        <v>1283037</v>
      </c>
      <c r="I86" s="32" t="s">
        <v>710</v>
      </c>
      <c r="J86" s="106">
        <f>+INDEX('2026 Base Rates'!E:E,MATCH('2027 GSLDPR Rate Class E-13c'!B86,'2026 Base Rates'!D:D,0))</f>
        <v>9.2596212239699997E-3</v>
      </c>
      <c r="K86" s="8"/>
      <c r="L86" s="32">
        <f t="shared" ref="L86:L87" si="30">+H86*J86</f>
        <v>11880.436636338796</v>
      </c>
      <c r="M86" s="8"/>
      <c r="N86" s="57"/>
      <c r="O86" s="33">
        <f>+INDEX('2025 Billing Determinants'!B:B,MATCH('2027 GSLDPR Rate Class E-13c'!A86,'2025 Billing Determinants'!A:A,0))</f>
        <v>1283037</v>
      </c>
      <c r="P86" s="32" t="s">
        <v>710</v>
      </c>
      <c r="Q86" s="106">
        <f t="shared" si="27"/>
        <v>9.6316739622017665E-3</v>
      </c>
      <c r="R86" s="8"/>
      <c r="S86" s="32">
        <f t="shared" ref="S86:S87" si="31">+O86*Q86</f>
        <v>12357.794065441469</v>
      </c>
      <c r="T86" s="32"/>
      <c r="U86" s="32">
        <f t="shared" si="28"/>
        <v>477.35742910267254</v>
      </c>
      <c r="V86" s="41">
        <f t="shared" si="29"/>
        <v>4.0180125000000011E-2</v>
      </c>
    </row>
    <row r="87" spans="1:22" x14ac:dyDescent="0.25">
      <c r="A87" s="59" t="s">
        <v>273</v>
      </c>
      <c r="B87" s="59" t="s">
        <v>625</v>
      </c>
      <c r="D87" s="57">
        <v>16</v>
      </c>
      <c r="E87" s="8" t="s">
        <v>749</v>
      </c>
      <c r="F87" s="8"/>
      <c r="G87" s="8"/>
      <c r="H87" s="33">
        <f>+INDEX('2025 Billing Determinants'!B:B,MATCH('2027 GSLDPR Rate Class E-13c'!A87,'2025 Billing Determinants'!A:A,0))</f>
        <v>2177593</v>
      </c>
      <c r="I87" s="32" t="s">
        <v>710</v>
      </c>
      <c r="J87" s="106">
        <f>+INDEX('2026 Base Rates'!E:E,MATCH('2027 GSLDPR Rate Class E-13c'!B87,'2026 Base Rates'!D:D,0))</f>
        <v>9.2596212239699997E-3</v>
      </c>
      <c r="K87" s="8"/>
      <c r="L87" s="32">
        <f t="shared" si="30"/>
        <v>20163.686359968502</v>
      </c>
      <c r="M87" s="8"/>
      <c r="N87" s="57"/>
      <c r="O87" s="33">
        <f>+INDEX('2025 Billing Determinants'!B:B,MATCH('2027 GSLDPR Rate Class E-13c'!A87,'2025 Billing Determinants'!A:A,0))</f>
        <v>2177593</v>
      </c>
      <c r="P87" s="32" t="s">
        <v>710</v>
      </c>
      <c r="Q87" s="106">
        <f t="shared" si="27"/>
        <v>9.6316739622017665E-3</v>
      </c>
      <c r="R87" s="8"/>
      <c r="S87" s="32">
        <f t="shared" si="31"/>
        <v>20973.86579837283</v>
      </c>
      <c r="T87" s="8"/>
      <c r="U87" s="32">
        <f t="shared" si="28"/>
        <v>810.17943840432781</v>
      </c>
      <c r="V87" s="41">
        <f t="shared" si="29"/>
        <v>4.0180124999999921E-2</v>
      </c>
    </row>
    <row r="88" spans="1:22" ht="16.5" x14ac:dyDescent="0.35">
      <c r="A88" s="59" t="s">
        <v>905</v>
      </c>
      <c r="B88" s="59" t="s">
        <v>1245</v>
      </c>
      <c r="D88" s="89"/>
      <c r="E88" s="8" t="s">
        <v>1270</v>
      </c>
      <c r="F88" s="8"/>
      <c r="G88" s="8"/>
      <c r="H88" s="104">
        <f>+INDEX('2025 Billing Determinants'!B:B,MATCH('2027 GSLDPR Rate Class E-13c'!A88,'2025 Billing Determinants'!A:A,0))</f>
        <v>1789114</v>
      </c>
      <c r="I88" s="32" t="s">
        <v>710</v>
      </c>
      <c r="J88" s="106">
        <f>+INDEX('2026 Base Rates'!E:E,MATCH('2027 GSLDPR Rate Class E-13c'!B88,'2026 Base Rates'!D:D,0))</f>
        <v>9.2596212239699997E-3</v>
      </c>
      <c r="K88" s="8"/>
      <c r="L88" s="32">
        <f t="shared" ref="L88" si="32">+H88*J88</f>
        <v>16566.517966501862</v>
      </c>
      <c r="M88" s="8"/>
      <c r="N88" s="57"/>
      <c r="O88" s="104">
        <f>+INDEX('2025 Billing Determinants'!B:B,MATCH('2027 GSLDPR Rate Class E-13c'!A88,'2025 Billing Determinants'!A:A,0))</f>
        <v>1789114</v>
      </c>
      <c r="P88" s="32" t="s">
        <v>710</v>
      </c>
      <c r="Q88" s="106">
        <f t="shared" si="27"/>
        <v>9.6316739622017665E-3</v>
      </c>
      <c r="R88" s="8"/>
      <c r="S88" s="32">
        <f t="shared" ref="S88" si="33">+O88*Q88</f>
        <v>17232.16272921065</v>
      </c>
    </row>
    <row r="89" spans="1:22" x14ac:dyDescent="0.25">
      <c r="A89" s="59"/>
      <c r="B89" s="59"/>
      <c r="D89" s="57">
        <v>17</v>
      </c>
      <c r="E89" s="31" t="s">
        <v>747</v>
      </c>
      <c r="F89" s="35"/>
      <c r="G89" s="8"/>
      <c r="H89" s="33">
        <f>+SUM(H85:H88)</f>
        <v>5249744</v>
      </c>
      <c r="I89" s="32" t="s">
        <v>710</v>
      </c>
      <c r="J89" s="47"/>
      <c r="K89" s="32"/>
      <c r="L89" s="101">
        <f>+SUM(L85:L88)</f>
        <v>48610.640962809164</v>
      </c>
      <c r="M89" s="32"/>
      <c r="N89" s="42"/>
      <c r="O89" s="33">
        <f>+SUM(O85:O88)</f>
        <v>5249744</v>
      </c>
      <c r="P89" s="32" t="s">
        <v>710</v>
      </c>
      <c r="Q89" s="47"/>
      <c r="R89" s="8"/>
      <c r="S89" s="101">
        <f>+SUM(S85:S88)</f>
        <v>50563.822593024946</v>
      </c>
      <c r="T89" s="8"/>
      <c r="U89" s="32">
        <f>+S89-L89</f>
        <v>1953.1816302157822</v>
      </c>
      <c r="V89" s="41">
        <f>+IF(U89=0,0,(S89-L89)/L89)</f>
        <v>4.0180124999999789E-2</v>
      </c>
    </row>
    <row r="90" spans="1:22" x14ac:dyDescent="0.25">
      <c r="A90" s="59"/>
      <c r="B90" s="59"/>
      <c r="D90" s="57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 x14ac:dyDescent="0.25">
      <c r="A91" s="59"/>
      <c r="B91" s="59"/>
      <c r="D91" s="57">
        <v>19</v>
      </c>
      <c r="E91" s="31" t="s">
        <v>411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 x14ac:dyDescent="0.25">
      <c r="A92" s="59" t="s">
        <v>243</v>
      </c>
      <c r="B92" s="59" t="s">
        <v>613</v>
      </c>
      <c r="D92" s="57">
        <v>20</v>
      </c>
      <c r="E92" s="193" t="s">
        <v>745</v>
      </c>
      <c r="F92" s="8"/>
      <c r="G92" s="8"/>
      <c r="H92" s="8">
        <f>+INDEX('2025 Billing Determinants'!B:B,MATCH('2027 GSLDPR Rate Class E-13c'!A92,'2025 Billing Determinants'!A:A,0))</f>
        <v>0</v>
      </c>
      <c r="I92" s="32" t="s">
        <v>729</v>
      </c>
      <c r="J92" s="47">
        <f>+INDEX('2026 Base Rates'!E:E,MATCH('2027 GSLDPR Rate Class E-13c'!B92,'2026 Base Rates'!D:D,0))</f>
        <v>13.769143534856953</v>
      </c>
      <c r="K92" s="76"/>
      <c r="L92" s="32">
        <f>+H92*J92</f>
        <v>0</v>
      </c>
      <c r="M92" s="8"/>
      <c r="N92" s="57"/>
      <c r="O92" s="8">
        <f>+INDEX('2025 Billing Determinants'!B:B,MATCH('2027 GSLDPR Rate Class E-13c'!A92,'2025 Billing Determinants'!A:A,0))</f>
        <v>0</v>
      </c>
      <c r="P92" s="32" t="s">
        <v>729</v>
      </c>
      <c r="Q92" s="47">
        <f t="shared" ref="Q92:Q94" si="34">+J92*(1+$B$7)</f>
        <v>14.322389443230447</v>
      </c>
      <c r="R92" s="8"/>
      <c r="S92" s="32">
        <f>+O92*Q92</f>
        <v>0</v>
      </c>
      <c r="T92" s="8"/>
      <c r="U92" s="32">
        <f t="shared" ref="U92:U95" si="35">+S92-L92</f>
        <v>0</v>
      </c>
      <c r="V92" s="41">
        <f t="shared" ref="V92:V95" si="36">+IF(U92=0,0,(S92-L92)/L92)</f>
        <v>0</v>
      </c>
    </row>
    <row r="93" spans="1:22" x14ac:dyDescent="0.25">
      <c r="A93" s="59" t="s">
        <v>269</v>
      </c>
      <c r="B93" s="59" t="s">
        <v>626</v>
      </c>
      <c r="D93" s="57">
        <v>21</v>
      </c>
      <c r="E93" s="8" t="s">
        <v>751</v>
      </c>
      <c r="F93" s="8"/>
      <c r="G93" s="8"/>
      <c r="H93" s="33">
        <f>+INDEX('2025 Billing Determinants'!B:B,MATCH('2027 GSLDPR Rate Class E-13c'!A93,'2025 Billing Determinants'!A:A,0))</f>
        <v>30267</v>
      </c>
      <c r="I93" s="32" t="s">
        <v>729</v>
      </c>
      <c r="J93" s="47">
        <f>+INDEX('2026 Base Rates'!E:E,MATCH('2027 GSLDPR Rate Class E-13c'!B93,'2026 Base Rates'!D:D,0))</f>
        <v>3.0986211940935928</v>
      </c>
      <c r="K93" s="76"/>
      <c r="L93" s="32">
        <f t="shared" ref="L93:L94" si="37">+H93*J93</f>
        <v>93785.967681630776</v>
      </c>
      <c r="M93" s="32"/>
      <c r="N93" s="42"/>
      <c r="O93" s="32">
        <f>+INDEX('2025 Billing Determinants'!B:B,MATCH('2027 GSLDPR Rate Class E-13c'!A93,'2025 Billing Determinants'!A:A,0))</f>
        <v>30267</v>
      </c>
      <c r="P93" s="32" t="s">
        <v>729</v>
      </c>
      <c r="Q93" s="47">
        <f t="shared" si="34"/>
        <v>3.2231241809999225</v>
      </c>
      <c r="R93" s="8"/>
      <c r="S93" s="32">
        <f t="shared" ref="S93:S94" si="38">+O93*Q93</f>
        <v>97554.299586324647</v>
      </c>
      <c r="T93" s="32"/>
      <c r="U93" s="32">
        <f t="shared" si="35"/>
        <v>3768.3319046938705</v>
      </c>
      <c r="V93" s="41">
        <f t="shared" si="36"/>
        <v>4.0180124999999844E-2</v>
      </c>
    </row>
    <row r="94" spans="1:22" ht="16.5" x14ac:dyDescent="0.35">
      <c r="A94" s="59" t="s">
        <v>270</v>
      </c>
      <c r="B94" s="59" t="s">
        <v>627</v>
      </c>
      <c r="D94" s="57">
        <v>22</v>
      </c>
      <c r="E94" s="8" t="s">
        <v>752</v>
      </c>
      <c r="F94" s="8"/>
      <c r="G94" s="8"/>
      <c r="H94" s="104">
        <f>+INDEX('2025 Billing Determinants'!B:B,MATCH('2027 GSLDPR Rate Class E-13c'!A94,'2025 Billing Determinants'!A:A,0))</f>
        <v>37120</v>
      </c>
      <c r="I94" s="32" t="s">
        <v>731</v>
      </c>
      <c r="J94" s="47">
        <f>+INDEX('2026 Base Rates'!E:E,MATCH('2027 GSLDPR Rate Class E-13c'!B94,'2026 Base Rates'!D:D,0))</f>
        <v>10.665225923013358</v>
      </c>
      <c r="K94" s="76"/>
      <c r="L94" s="32">
        <f t="shared" si="37"/>
        <v>395893.18626225583</v>
      </c>
      <c r="M94" s="8"/>
      <c r="N94" s="57"/>
      <c r="O94" s="105">
        <f>+INDEX('2025 Billing Determinants'!B:B,MATCH('2027 GSLDPR Rate Class E-13c'!A94,'2025 Billing Determinants'!A:A,0))</f>
        <v>37120</v>
      </c>
      <c r="P94" s="32" t="s">
        <v>731</v>
      </c>
      <c r="Q94" s="47">
        <f t="shared" si="34"/>
        <v>11.093756033753275</v>
      </c>
      <c r="R94" s="8"/>
      <c r="S94" s="32">
        <f t="shared" si="38"/>
        <v>411800.22397292155</v>
      </c>
      <c r="T94" s="8"/>
      <c r="U94" s="32">
        <f t="shared" si="35"/>
        <v>15907.037710665725</v>
      </c>
      <c r="V94" s="41">
        <f t="shared" si="36"/>
        <v>4.0180125000000011E-2</v>
      </c>
    </row>
    <row r="95" spans="1:22" x14ac:dyDescent="0.25">
      <c r="A95" s="59"/>
      <c r="B95" s="59"/>
      <c r="D95" s="57">
        <v>23</v>
      </c>
      <c r="E95" s="8" t="s">
        <v>335</v>
      </c>
      <c r="F95" s="8"/>
      <c r="G95" s="8"/>
      <c r="H95" s="33">
        <f>+SUM(H92:H93)</f>
        <v>30267</v>
      </c>
      <c r="I95" s="32"/>
      <c r="J95" s="39"/>
      <c r="K95" s="76"/>
      <c r="L95" s="101">
        <f>+SUM(L92:L94)</f>
        <v>489679.15394388663</v>
      </c>
      <c r="M95" s="8"/>
      <c r="N95" s="57"/>
      <c r="O95" s="33">
        <f>+SUM(O92:O93)</f>
        <v>30267</v>
      </c>
      <c r="P95" s="32"/>
      <c r="Q95" s="39"/>
      <c r="R95" s="8"/>
      <c r="S95" s="101">
        <f>+SUM(S92:S94)</f>
        <v>509354.52355924621</v>
      </c>
      <c r="T95" s="8"/>
      <c r="U95" s="32">
        <f t="shared" si="35"/>
        <v>19675.369615359581</v>
      </c>
      <c r="V95" s="41">
        <f t="shared" si="36"/>
        <v>4.0180124999999949E-2</v>
      </c>
    </row>
    <row r="96" spans="1:22" x14ac:dyDescent="0.25">
      <c r="A96" s="59"/>
      <c r="B96" s="59"/>
      <c r="D96" s="57">
        <v>24</v>
      </c>
      <c r="E96" s="8"/>
      <c r="F96" s="8"/>
      <c r="G96" s="8"/>
      <c r="H96" s="32"/>
      <c r="I96" s="32"/>
      <c r="J96" s="39"/>
      <c r="K96" s="76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3" x14ac:dyDescent="0.25">
      <c r="A97" s="59"/>
      <c r="B97" s="59"/>
      <c r="D97" s="57">
        <v>25</v>
      </c>
      <c r="E97" s="71" t="s">
        <v>418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3" x14ac:dyDescent="0.25">
      <c r="A98" s="59" t="s">
        <v>245</v>
      </c>
      <c r="B98" s="59" t="s">
        <v>614</v>
      </c>
      <c r="D98" s="57">
        <v>26</v>
      </c>
      <c r="E98" s="71" t="s">
        <v>753</v>
      </c>
      <c r="F98" s="8"/>
      <c r="G98" s="8"/>
      <c r="H98" s="8">
        <f>+INDEX('2025 Billing Determinants'!B:B,MATCH('2027 GSLDPR Rate Class E-13c'!A98,'2025 Billing Determinants'!A:A,0))</f>
        <v>0</v>
      </c>
      <c r="I98" s="8" t="s">
        <v>729</v>
      </c>
      <c r="J98" s="47">
        <f>+INDEX('2026 Base Rates'!E:E,MATCH('2027 GSLDPR Rate Class E-13c'!B98,'2026 Base Rates'!D:D,0))</f>
        <v>1.8082605268648162</v>
      </c>
      <c r="K98" s="8"/>
      <c r="L98" s="33">
        <f>+H98*J98</f>
        <v>0</v>
      </c>
      <c r="M98" s="8"/>
      <c r="N98" s="57"/>
      <c r="O98" s="8">
        <f>+INDEX('2025 Billing Determinants'!B:B,MATCH('2027 GSLDPR Rate Class E-13c'!A98,'2025 Billing Determinants'!A:A,0))</f>
        <v>0</v>
      </c>
      <c r="P98" s="8" t="s">
        <v>729</v>
      </c>
      <c r="Q98" s="47">
        <f t="shared" ref="Q98:Q103" si="39">+J98*(1+$B$7)</f>
        <v>1.8809166608668104</v>
      </c>
      <c r="R98" s="8"/>
      <c r="S98" s="33">
        <f>+O98*Q98</f>
        <v>0</v>
      </c>
      <c r="T98" s="8"/>
      <c r="U98" s="32">
        <f t="shared" ref="U98:U104" si="40">+S98-L98</f>
        <v>0</v>
      </c>
      <c r="V98" s="41">
        <f t="shared" ref="V98:V104" si="41">+IF(U98=0,0,(S98-L98)/L98)</f>
        <v>0</v>
      </c>
    </row>
    <row r="99" spans="1:23" x14ac:dyDescent="0.25">
      <c r="A99" s="59" t="s">
        <v>246</v>
      </c>
      <c r="B99" s="59" t="s">
        <v>615</v>
      </c>
      <c r="D99" s="57">
        <v>27</v>
      </c>
      <c r="E99" s="71" t="s">
        <v>754</v>
      </c>
      <c r="F99" s="8"/>
      <c r="G99" s="8"/>
      <c r="H99" s="8">
        <f>+INDEX('2025 Billing Determinants'!B:B,MATCH('2027 GSLDPR Rate Class E-13c'!A99,'2025 Billing Determinants'!A:A,0))</f>
        <v>0</v>
      </c>
      <c r="I99" s="8" t="s">
        <v>755</v>
      </c>
      <c r="J99" s="47">
        <f>+INDEX('2026 Base Rates'!E:E,MATCH('2027 GSLDPR Rate Class E-13c'!B99,'2026 Base Rates'!D:D,0))</f>
        <v>1.6502571798572108</v>
      </c>
      <c r="K99" s="8" t="s">
        <v>756</v>
      </c>
      <c r="L99" s="33">
        <f t="shared" ref="L99:L103" si="42">+H99*J99</f>
        <v>0</v>
      </c>
      <c r="M99" s="8"/>
      <c r="N99" s="57"/>
      <c r="O99" s="8">
        <f>+INDEX('2025 Billing Determinants'!B:B,MATCH('2027 GSLDPR Rate Class E-13c'!A99,'2025 Billing Determinants'!A:A,0))</f>
        <v>0</v>
      </c>
      <c r="P99" s="8" t="s">
        <v>755</v>
      </c>
      <c r="Q99" s="47">
        <f t="shared" si="39"/>
        <v>1.716564719626021</v>
      </c>
      <c r="R99" s="8"/>
      <c r="S99" s="33">
        <f t="shared" ref="S99:S103" si="43">+O99*Q99</f>
        <v>0</v>
      </c>
      <c r="T99" s="8"/>
      <c r="U99" s="32">
        <f t="shared" si="40"/>
        <v>0</v>
      </c>
      <c r="V99" s="41">
        <f t="shared" si="41"/>
        <v>0</v>
      </c>
    </row>
    <row r="100" spans="1:23" x14ac:dyDescent="0.25">
      <c r="A100" s="59" t="s">
        <v>247</v>
      </c>
      <c r="B100" s="59" t="s">
        <v>616</v>
      </c>
      <c r="D100" s="57">
        <v>28</v>
      </c>
      <c r="E100" s="71" t="s">
        <v>757</v>
      </c>
      <c r="F100" s="8"/>
      <c r="G100" s="8"/>
      <c r="H100" s="8">
        <f>+INDEX('2025 Billing Determinants'!B:B,MATCH('2027 GSLDPR Rate Class E-13c'!A100,'2025 Billing Determinants'!A:A,0))</f>
        <v>0</v>
      </c>
      <c r="I100" s="8" t="s">
        <v>755</v>
      </c>
      <c r="J100" s="47">
        <f>+INDEX('2026 Base Rates'!E:E,MATCH('2027 GSLDPR Rate Class E-13c'!B100,'2026 Base Rates'!D:D,0))</f>
        <v>0.65834727919835545</v>
      </c>
      <c r="K100" s="8" t="s">
        <v>758</v>
      </c>
      <c r="L100" s="33">
        <f t="shared" si="42"/>
        <v>0</v>
      </c>
      <c r="M100" s="8"/>
      <c r="N100" s="57"/>
      <c r="O100" s="8">
        <f>+INDEX('2025 Billing Determinants'!B:B,MATCH('2027 GSLDPR Rate Class E-13c'!A100,'2025 Billing Determinants'!A:A,0))</f>
        <v>0</v>
      </c>
      <c r="P100" s="8" t="s">
        <v>755</v>
      </c>
      <c r="Q100" s="47">
        <f t="shared" si="39"/>
        <v>0.68479975516995528</v>
      </c>
      <c r="R100" s="8"/>
      <c r="S100" s="33">
        <f t="shared" si="43"/>
        <v>0</v>
      </c>
      <c r="T100" s="8"/>
      <c r="U100" s="32">
        <f t="shared" si="40"/>
        <v>0</v>
      </c>
      <c r="V100" s="41">
        <f t="shared" si="41"/>
        <v>0</v>
      </c>
    </row>
    <row r="101" spans="1:23" x14ac:dyDescent="0.25">
      <c r="A101" s="59" t="s">
        <v>274</v>
      </c>
      <c r="B101" s="59" t="s">
        <v>628</v>
      </c>
      <c r="D101" s="57">
        <v>29</v>
      </c>
      <c r="E101" s="193" t="s">
        <v>759</v>
      </c>
      <c r="F101" s="8"/>
      <c r="G101" s="8"/>
      <c r="H101" s="33">
        <f>+INDEX('2025 Billing Determinants'!B:B,MATCH('2027 GSLDPR Rate Class E-13c'!A101,'2025 Billing Determinants'!A:A,0))</f>
        <v>86588.24</v>
      </c>
      <c r="I101" s="32" t="s">
        <v>729</v>
      </c>
      <c r="J101" s="47">
        <f>+INDEX('2026 Base Rates'!E:E,MATCH('2027 GSLDPR Rate Class E-13c'!B101,'2026 Base Rates'!D:D,0))</f>
        <v>1.8082605268648162</v>
      </c>
      <c r="K101" s="76"/>
      <c r="L101" s="32">
        <f t="shared" si="42"/>
        <v>156574.09648269718</v>
      </c>
      <c r="M101" s="8"/>
      <c r="N101" s="57"/>
      <c r="O101" s="33">
        <f>+INDEX('2025 Billing Determinants'!B:B,MATCH('2027 GSLDPR Rate Class E-13c'!A101,'2025 Billing Determinants'!A:A,0))</f>
        <v>86588.24</v>
      </c>
      <c r="P101" s="32" t="s">
        <v>729</v>
      </c>
      <c r="Q101" s="47">
        <f t="shared" si="39"/>
        <v>1.8809166608668104</v>
      </c>
      <c r="R101" s="76"/>
      <c r="S101" s="32">
        <f t="shared" si="43"/>
        <v>162865.26325113399</v>
      </c>
      <c r="T101" s="32"/>
      <c r="U101" s="32">
        <f t="shared" si="40"/>
        <v>6291.1667684368149</v>
      </c>
      <c r="V101" s="41">
        <f t="shared" si="41"/>
        <v>4.0180124999999886E-2</v>
      </c>
    </row>
    <row r="102" spans="1:23" x14ac:dyDescent="0.25">
      <c r="A102" s="59" t="s">
        <v>275</v>
      </c>
      <c r="B102" s="59" t="s">
        <v>629</v>
      </c>
      <c r="D102" s="57">
        <v>30</v>
      </c>
      <c r="E102" s="193" t="s">
        <v>760</v>
      </c>
      <c r="F102" s="35"/>
      <c r="G102" s="8"/>
      <c r="H102" s="33">
        <f>+INDEX('2025 Billing Determinants'!B:B,MATCH('2027 GSLDPR Rate Class E-13c'!A102,'2025 Billing Determinants'!A:A,0))</f>
        <v>38043.1</v>
      </c>
      <c r="I102" s="32" t="s">
        <v>755</v>
      </c>
      <c r="J102" s="47">
        <f>+INDEX('2026 Base Rates'!E:E,MATCH('2027 GSLDPR Rate Class E-13c'!B102,'2026 Base Rates'!D:D,0))</f>
        <v>1.6502571798572108</v>
      </c>
      <c r="K102" s="76" t="s">
        <v>756</v>
      </c>
      <c r="L102" s="32">
        <f t="shared" si="42"/>
        <v>62780.898919025851</v>
      </c>
      <c r="M102" s="32"/>
      <c r="N102" s="42"/>
      <c r="O102" s="33">
        <f>+INDEX('2025 Billing Determinants'!B:B,MATCH('2027 GSLDPR Rate Class E-13c'!A102,'2025 Billing Determinants'!A:A,0))</f>
        <v>38043.1</v>
      </c>
      <c r="P102" s="32" t="s">
        <v>755</v>
      </c>
      <c r="Q102" s="47">
        <f t="shared" si="39"/>
        <v>1.716564719626021</v>
      </c>
      <c r="R102" s="76" t="s">
        <v>761</v>
      </c>
      <c r="S102" s="32">
        <f t="shared" si="43"/>
        <v>65303.443285204674</v>
      </c>
      <c r="T102" s="32"/>
      <c r="U102" s="32">
        <f t="shared" si="40"/>
        <v>2522.5443661788231</v>
      </c>
      <c r="V102" s="41">
        <f t="shared" si="41"/>
        <v>4.018012499999999E-2</v>
      </c>
    </row>
    <row r="103" spans="1:23" x14ac:dyDescent="0.25">
      <c r="A103" s="59" t="s">
        <v>276</v>
      </c>
      <c r="B103" s="59" t="s">
        <v>630</v>
      </c>
      <c r="D103" s="57">
        <v>31</v>
      </c>
      <c r="E103" s="193" t="s">
        <v>762</v>
      </c>
      <c r="F103" s="8"/>
      <c r="G103" s="8"/>
      <c r="H103" s="100">
        <f>+INDEX('2025 Billing Determinants'!B:B,MATCH('2027 GSLDPR Rate Class E-13c'!A103,'2025 Billing Determinants'!A:A,0))</f>
        <v>171208.81</v>
      </c>
      <c r="I103" s="32" t="s">
        <v>755</v>
      </c>
      <c r="J103" s="47">
        <f>+INDEX('2026 Base Rates'!E:E,MATCH('2027 GSLDPR Rate Class E-13c'!B103,'2026 Base Rates'!D:D,0))</f>
        <v>0.65834727919835545</v>
      </c>
      <c r="K103" s="76" t="s">
        <v>758</v>
      </c>
      <c r="L103" s="32">
        <f t="shared" si="42"/>
        <v>112714.85423828819</v>
      </c>
      <c r="M103" s="8"/>
      <c r="N103" s="57"/>
      <c r="O103" s="100">
        <f>+INDEX('2025 Billing Determinants'!B:B,MATCH('2027 GSLDPR Rate Class E-13c'!A103,'2025 Billing Determinants'!A:A,0))</f>
        <v>171208.81</v>
      </c>
      <c r="P103" s="32" t="s">
        <v>755</v>
      </c>
      <c r="Q103" s="47">
        <f t="shared" si="39"/>
        <v>0.68479975516995528</v>
      </c>
      <c r="R103" s="76" t="s">
        <v>763</v>
      </c>
      <c r="S103" s="32">
        <f t="shared" si="43"/>
        <v>117243.75117093939</v>
      </c>
      <c r="T103" s="8"/>
      <c r="U103" s="32">
        <f t="shared" si="40"/>
        <v>4528.8969326512015</v>
      </c>
      <c r="V103" s="41">
        <f t="shared" si="41"/>
        <v>4.0180125000000018E-2</v>
      </c>
    </row>
    <row r="104" spans="1:23" x14ac:dyDescent="0.25">
      <c r="A104" s="59"/>
      <c r="B104" s="59"/>
      <c r="D104" s="57">
        <v>32</v>
      </c>
      <c r="E104" s="31" t="s">
        <v>747</v>
      </c>
      <c r="F104" s="35"/>
      <c r="G104" s="8"/>
      <c r="H104" s="32">
        <f>+SUM(H98,H101)</f>
        <v>86588.24</v>
      </c>
      <c r="I104" s="32" t="s">
        <v>729</v>
      </c>
      <c r="J104" s="39"/>
      <c r="K104" s="32"/>
      <c r="L104" s="101">
        <f>+SUM(L98:L103)</f>
        <v>332069.84964001121</v>
      </c>
      <c r="M104" s="32"/>
      <c r="N104" s="42"/>
      <c r="O104" s="32">
        <f>+SUM(O98,O101)</f>
        <v>86588.24</v>
      </c>
      <c r="P104" s="32" t="s">
        <v>729</v>
      </c>
      <c r="Q104" s="39"/>
      <c r="R104" s="32"/>
      <c r="S104" s="101">
        <f>+SUM(S98:S103)</f>
        <v>345412.45770727808</v>
      </c>
      <c r="T104" s="8"/>
      <c r="U104" s="32">
        <f t="shared" si="40"/>
        <v>13342.608067266876</v>
      </c>
      <c r="V104" s="41">
        <f t="shared" si="41"/>
        <v>4.018012500000006E-2</v>
      </c>
    </row>
    <row r="105" spans="1:23" x14ac:dyDescent="0.25">
      <c r="A105" s="59"/>
      <c r="B105" s="59"/>
      <c r="D105" s="57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3" x14ac:dyDescent="0.25">
      <c r="A106" s="59"/>
      <c r="B106" s="59"/>
      <c r="D106" s="57">
        <v>35</v>
      </c>
      <c r="E106" s="31" t="s">
        <v>764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3" x14ac:dyDescent="0.25">
      <c r="A107" s="59" t="s">
        <v>240</v>
      </c>
      <c r="B107" s="59" t="s">
        <v>617</v>
      </c>
      <c r="D107" s="57">
        <v>36</v>
      </c>
      <c r="E107" s="193" t="s">
        <v>745</v>
      </c>
      <c r="F107" s="8"/>
      <c r="G107" s="8"/>
      <c r="H107" s="8">
        <f>+INDEX('2025 Billing Determinants'!B:B,MATCH('2027 GSLDPR Rate Class E-13c'!A107,'2025 Billing Determinants'!A:A,0))</f>
        <v>0</v>
      </c>
      <c r="I107" s="8" t="s">
        <v>839</v>
      </c>
      <c r="J107" s="106">
        <f>+INDEX('2026 Base Rates'!E:E,MATCH('2027 GSLDPR Rate Class E-13c'!B107,'2026 Base Rates'!D:D,0))</f>
        <v>2.1503456065000001E-3</v>
      </c>
      <c r="K107" s="8"/>
      <c r="L107" s="33">
        <f>+H107*J107</f>
        <v>0</v>
      </c>
      <c r="M107" s="8"/>
      <c r="N107" s="57"/>
      <c r="O107" s="8">
        <f>+INDEX('2025 Billing Determinants'!B:B,MATCH('2027 GSLDPR Rate Class E-13c'!A107,'2025 Billing Determinants'!A:A,0))</f>
        <v>0</v>
      </c>
      <c r="P107" s="8" t="s">
        <v>839</v>
      </c>
      <c r="Q107" s="106">
        <f t="shared" ref="Q107:Q108" si="44">+J107*(1+$B$7)</f>
        <v>2.236746761762371E-3</v>
      </c>
      <c r="R107" s="8"/>
      <c r="S107" s="33">
        <f>+O107*Q107</f>
        <v>0</v>
      </c>
      <c r="T107" s="8"/>
      <c r="U107" s="32">
        <f t="shared" ref="U107:U109" si="45">+S107-L107</f>
        <v>0</v>
      </c>
      <c r="V107" s="41">
        <f t="shared" ref="V107:V109" si="46">+IF(U107=0,0,(S107-L107)/L107)</f>
        <v>0</v>
      </c>
    </row>
    <row r="108" spans="1:23" ht="16.5" x14ac:dyDescent="0.35">
      <c r="A108" s="59" t="s">
        <v>264</v>
      </c>
      <c r="B108" s="59" t="s">
        <v>918</v>
      </c>
      <c r="D108" s="57">
        <v>37</v>
      </c>
      <c r="E108" s="8" t="s">
        <v>746</v>
      </c>
      <c r="F108" s="8"/>
      <c r="G108" s="8"/>
      <c r="H108" s="104">
        <f>+INDEX('2025 Billing Determinants'!B:B,MATCH('2027 GSLDPR Rate Class E-13c'!A108,'2025 Billing Determinants'!A:A,0))</f>
        <v>13506304</v>
      </c>
      <c r="I108" s="8" t="s">
        <v>839</v>
      </c>
      <c r="J108" s="106">
        <f>+INDEX('2026 Base Rates'!E:E,MATCH('2027 GSLDPR Rate Class E-13c'!B108,'2026 Base Rates'!D:D,0))</f>
        <v>2.1503456065000001E-3</v>
      </c>
      <c r="K108" s="8"/>
      <c r="L108" s="100">
        <f>+H108*J108</f>
        <v>29043.221466453379</v>
      </c>
      <c r="M108" s="8"/>
      <c r="N108" s="57"/>
      <c r="O108" s="104">
        <f>+INDEX('2025 Billing Determinants'!B:B,MATCH('2027 GSLDPR Rate Class E-13c'!A108,'2025 Billing Determinants'!A:A,0))</f>
        <v>13506304</v>
      </c>
      <c r="P108" s="8" t="s">
        <v>839</v>
      </c>
      <c r="Q108" s="106">
        <f t="shared" si="44"/>
        <v>2.236746761762371E-3</v>
      </c>
      <c r="R108" s="8"/>
      <c r="S108" s="100">
        <f>+O108*Q108</f>
        <v>30210.181735378159</v>
      </c>
      <c r="T108" s="8"/>
      <c r="U108" s="32">
        <f t="shared" si="45"/>
        <v>1166.9602689247804</v>
      </c>
      <c r="V108" s="41">
        <f t="shared" si="46"/>
        <v>4.0180125000000011E-2</v>
      </c>
    </row>
    <row r="109" spans="1:23" ht="15.75" thickBot="1" x14ac:dyDescent="0.3">
      <c r="A109" s="59"/>
      <c r="D109" s="58">
        <v>38</v>
      </c>
      <c r="E109" s="9"/>
      <c r="F109" s="205" t="s">
        <v>335</v>
      </c>
      <c r="G109" s="9"/>
      <c r="H109" s="216">
        <f>+SUM(H107:H108)</f>
        <v>13506304</v>
      </c>
      <c r="I109" s="216"/>
      <c r="J109" s="216"/>
      <c r="K109" s="216"/>
      <c r="L109" s="216">
        <f>+SUM(L107:L108)</f>
        <v>29043.221466453379</v>
      </c>
      <c r="M109" s="216"/>
      <c r="N109" s="216"/>
      <c r="O109" s="217">
        <f>+SUM(O107:O108)</f>
        <v>13506304</v>
      </c>
      <c r="P109" s="216"/>
      <c r="Q109" s="216"/>
      <c r="R109" s="216"/>
      <c r="S109" s="216">
        <f>+SUM(S107:S108)</f>
        <v>30210.181735378159</v>
      </c>
      <c r="T109" s="9"/>
      <c r="U109" s="144">
        <f t="shared" si="45"/>
        <v>1166.9602689247804</v>
      </c>
      <c r="V109" s="208">
        <f t="shared" si="46"/>
        <v>4.0180125000000011E-2</v>
      </c>
      <c r="W109" s="9"/>
    </row>
    <row r="110" spans="1:23" x14ac:dyDescent="0.2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304</v>
      </c>
    </row>
    <row r="111" spans="1:23" x14ac:dyDescent="0.25">
      <c r="A111" s="59"/>
      <c r="B111" s="59"/>
      <c r="D111" s="8"/>
      <c r="E111" s="8"/>
      <c r="F111" s="8"/>
      <c r="G111" s="8"/>
      <c r="H111" s="8"/>
      <c r="I111" s="8"/>
      <c r="J111" s="8"/>
      <c r="K111" s="378"/>
      <c r="L111" s="378"/>
      <c r="M111" s="378"/>
      <c r="N111" s="378"/>
      <c r="O111" s="378"/>
      <c r="P111" s="8"/>
      <c r="Q111" s="8"/>
      <c r="R111" s="8"/>
      <c r="S111" s="8"/>
      <c r="T111" s="8"/>
      <c r="U111" s="8"/>
      <c r="V111" s="8"/>
    </row>
    <row r="112" spans="1:23" ht="15.75" thickBot="1" x14ac:dyDescent="0.3">
      <c r="A112" s="59"/>
      <c r="B112" s="59"/>
      <c r="D112" s="9" t="s">
        <v>305</v>
      </c>
      <c r="E112" s="9"/>
      <c r="F112" s="9"/>
      <c r="G112" s="9"/>
      <c r="H112" s="9"/>
      <c r="I112" s="9"/>
      <c r="J112" s="9"/>
      <c r="K112" s="379" t="s">
        <v>306</v>
      </c>
      <c r="L112" s="379"/>
      <c r="M112" s="379"/>
      <c r="N112" s="379"/>
      <c r="O112" s="379"/>
      <c r="P112" s="9"/>
      <c r="Q112" s="9"/>
      <c r="R112" s="9"/>
      <c r="S112" s="9"/>
      <c r="T112" s="9"/>
      <c r="U112" s="9"/>
      <c r="V112" s="13" t="s">
        <v>885</v>
      </c>
    </row>
    <row r="113" spans="1:22" x14ac:dyDescent="0.25">
      <c r="A113" s="59"/>
      <c r="B113" s="59"/>
      <c r="D113" s="8" t="s">
        <v>307</v>
      </c>
      <c r="E113" s="8"/>
      <c r="F113" s="8"/>
      <c r="G113" s="8"/>
      <c r="H113" s="8" t="s">
        <v>308</v>
      </c>
      <c r="I113" s="8"/>
      <c r="J113" s="8" t="s">
        <v>910</v>
      </c>
      <c r="K113" s="8"/>
      <c r="L113" s="8"/>
      <c r="M113" s="8"/>
      <c r="N113" s="98"/>
      <c r="O113" s="99"/>
      <c r="P113" s="8"/>
      <c r="Q113" s="8"/>
      <c r="R113" s="99"/>
      <c r="S113" s="99" t="s">
        <v>309</v>
      </c>
      <c r="T113" s="8"/>
      <c r="U113" s="8"/>
      <c r="V113" s="10"/>
    </row>
    <row r="114" spans="1:22" x14ac:dyDescent="0.25">
      <c r="A114" s="59"/>
      <c r="B114" s="59"/>
      <c r="D114" s="8"/>
      <c r="E114" s="8"/>
      <c r="F114" s="8"/>
      <c r="G114" s="8"/>
      <c r="H114" s="8"/>
      <c r="I114" s="8"/>
      <c r="J114" s="8" t="s">
        <v>911</v>
      </c>
      <c r="K114" s="8"/>
      <c r="L114" s="8"/>
      <c r="M114" s="8"/>
      <c r="N114" s="57"/>
      <c r="O114" s="10"/>
      <c r="P114" s="8"/>
      <c r="Q114" s="8"/>
      <c r="R114" s="11"/>
      <c r="S114" s="11"/>
      <c r="T114" s="117" t="s">
        <v>916</v>
      </c>
      <c r="U114" s="116" t="s">
        <v>1512</v>
      </c>
      <c r="V114" s="11"/>
    </row>
    <row r="115" spans="1:22" x14ac:dyDescent="0.25">
      <c r="A115" s="59"/>
      <c r="B115" s="59"/>
      <c r="D115" s="8" t="s">
        <v>310</v>
      </c>
      <c r="E115" s="8"/>
      <c r="F115" s="8"/>
      <c r="G115" s="8"/>
      <c r="H115" s="8"/>
      <c r="I115" s="8"/>
      <c r="J115" s="8" t="s">
        <v>912</v>
      </c>
      <c r="K115" s="8"/>
      <c r="L115" s="8"/>
      <c r="M115" s="8"/>
      <c r="N115" s="57"/>
      <c r="O115" s="10"/>
      <c r="P115" s="11"/>
      <c r="Q115" s="8"/>
      <c r="R115" s="8"/>
      <c r="S115" s="11"/>
      <c r="T115" s="265"/>
      <c r="U115" s="116"/>
      <c r="V115" s="11"/>
    </row>
    <row r="116" spans="1:22" x14ac:dyDescent="0.25">
      <c r="A116" s="59"/>
      <c r="B116" s="59"/>
      <c r="D116" s="8"/>
      <c r="E116" s="8"/>
      <c r="F116" s="8"/>
      <c r="G116" s="8"/>
      <c r="H116" s="8"/>
      <c r="I116" s="8"/>
      <c r="J116" s="8" t="s">
        <v>913</v>
      </c>
      <c r="K116" s="8"/>
      <c r="L116" s="8"/>
      <c r="M116" s="8"/>
      <c r="N116" s="57"/>
      <c r="O116" s="10"/>
      <c r="P116" s="11"/>
      <c r="Q116" s="8"/>
      <c r="R116" s="8"/>
      <c r="S116" s="11"/>
      <c r="T116" s="265"/>
      <c r="U116" s="116"/>
      <c r="V116" s="11"/>
    </row>
    <row r="117" spans="1:22" x14ac:dyDescent="0.25">
      <c r="A117" s="59"/>
      <c r="B117" s="59"/>
      <c r="D117" s="8"/>
      <c r="E117" s="8"/>
      <c r="F117" s="11"/>
      <c r="G117" s="8"/>
      <c r="H117" s="8"/>
      <c r="I117" s="8"/>
      <c r="J117" s="8" t="s">
        <v>914</v>
      </c>
      <c r="K117" s="12"/>
      <c r="L117" s="12"/>
      <c r="M117" s="12"/>
      <c r="N117" s="57"/>
      <c r="O117" s="8"/>
      <c r="P117" s="8"/>
      <c r="Q117" s="8"/>
      <c r="R117" s="8"/>
      <c r="S117" s="8"/>
      <c r="T117" s="265"/>
      <c r="V117" s="8"/>
    </row>
    <row r="118" spans="1:22" ht="15.75" thickBot="1" x14ac:dyDescent="0.3">
      <c r="A118" s="59"/>
      <c r="B118" s="59"/>
      <c r="D118" s="9" t="s">
        <v>1292</v>
      </c>
      <c r="E118" s="9"/>
      <c r="F118" s="13"/>
      <c r="G118" s="14"/>
      <c r="H118" s="14"/>
      <c r="I118" s="14"/>
      <c r="J118" s="15" t="s">
        <v>915</v>
      </c>
      <c r="K118" s="14"/>
      <c r="L118" s="14"/>
      <c r="M118" s="14"/>
      <c r="N118" s="14"/>
      <c r="O118" s="14"/>
      <c r="P118" s="14"/>
      <c r="Q118" s="15"/>
      <c r="R118" s="14"/>
      <c r="S118" s="14"/>
      <c r="T118" s="14"/>
      <c r="U118" s="114" t="s">
        <v>1519</v>
      </c>
      <c r="V118" s="14"/>
    </row>
    <row r="119" spans="1:22" x14ac:dyDescent="0.25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12"/>
      <c r="R119" s="8"/>
      <c r="S119" s="8"/>
      <c r="T119" s="8"/>
      <c r="U119" s="8"/>
      <c r="V119" s="8"/>
    </row>
    <row r="120" spans="1:22" x14ac:dyDescent="0.25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 x14ac:dyDescent="0.25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311</v>
      </c>
      <c r="M121" s="12"/>
      <c r="N121" s="18" t="s">
        <v>744</v>
      </c>
      <c r="O121" s="16"/>
      <c r="P121" s="8"/>
      <c r="Q121" s="16"/>
      <c r="R121" s="16"/>
      <c r="S121" s="16"/>
      <c r="T121" s="16"/>
      <c r="U121" s="16"/>
      <c r="V121" s="8"/>
    </row>
    <row r="122" spans="1:22" x14ac:dyDescent="0.25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25">
      <c r="A123" s="59"/>
      <c r="B123" s="59"/>
      <c r="D123" s="57" t="s">
        <v>313</v>
      </c>
      <c r="E123" s="196" t="s">
        <v>314</v>
      </c>
      <c r="F123" s="20"/>
      <c r="G123" s="21"/>
      <c r="H123" s="22"/>
      <c r="I123" s="22"/>
      <c r="J123" s="23" t="s">
        <v>315</v>
      </c>
      <c r="K123" s="22"/>
      <c r="L123" s="22"/>
      <c r="M123" s="20"/>
      <c r="N123" s="24"/>
      <c r="O123" s="22"/>
      <c r="P123" s="23"/>
      <c r="Q123" s="23" t="s">
        <v>316</v>
      </c>
      <c r="R123" s="22"/>
      <c r="S123" s="22"/>
      <c r="T123" s="20"/>
      <c r="U123" s="25" t="s">
        <v>317</v>
      </c>
      <c r="V123" s="25" t="s">
        <v>318</v>
      </c>
    </row>
    <row r="124" spans="1:22" ht="15.75" thickBot="1" x14ac:dyDescent="0.3">
      <c r="A124" s="59"/>
      <c r="B124" s="59"/>
      <c r="D124" s="58" t="s">
        <v>319</v>
      </c>
      <c r="E124" s="192" t="s">
        <v>320</v>
      </c>
      <c r="F124" s="27"/>
      <c r="G124" s="9"/>
      <c r="H124" s="58" t="s">
        <v>321</v>
      </c>
      <c r="I124" s="28"/>
      <c r="J124" s="28" t="s">
        <v>322</v>
      </c>
      <c r="K124" s="28"/>
      <c r="L124" s="28" t="s">
        <v>323</v>
      </c>
      <c r="M124" s="28"/>
      <c r="N124" s="28"/>
      <c r="O124" s="28" t="s">
        <v>321</v>
      </c>
      <c r="P124" s="28"/>
      <c r="Q124" s="28" t="s">
        <v>322</v>
      </c>
      <c r="R124" s="28"/>
      <c r="S124" s="28" t="s">
        <v>323</v>
      </c>
      <c r="T124" s="27"/>
      <c r="U124" s="29" t="s">
        <v>324</v>
      </c>
      <c r="V124" s="29" t="s">
        <v>325</v>
      </c>
    </row>
    <row r="125" spans="1:22" x14ac:dyDescent="0.25">
      <c r="A125" s="59"/>
      <c r="B125" s="59"/>
      <c r="D125" s="57">
        <v>1</v>
      </c>
      <c r="E125" s="380" t="s">
        <v>841</v>
      </c>
      <c r="F125" s="380"/>
      <c r="G125" s="380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 x14ac:dyDescent="0.25">
      <c r="A126" s="59"/>
      <c r="B126" s="59"/>
      <c r="D126" s="57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x14ac:dyDescent="0.25">
      <c r="A127" s="59"/>
      <c r="B127" s="59"/>
      <c r="D127" s="57">
        <v>3</v>
      </c>
      <c r="E127" s="31" t="s">
        <v>765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 x14ac:dyDescent="0.25">
      <c r="A128" s="59" t="s">
        <v>241</v>
      </c>
      <c r="B128" s="59" t="s">
        <v>618</v>
      </c>
      <c r="D128" s="57">
        <v>4</v>
      </c>
      <c r="E128" s="193" t="s">
        <v>745</v>
      </c>
      <c r="F128" s="8"/>
      <c r="G128" s="8"/>
      <c r="H128" s="8">
        <f>+INDEX('2025 Billing Determinants'!B:B,MATCH('2027 GSLDPR Rate Class E-13c'!A128,'2025 Billing Determinants'!A:A,0))</f>
        <v>0</v>
      </c>
      <c r="I128" s="8" t="s">
        <v>839</v>
      </c>
      <c r="J128" s="106">
        <f>+INDEX('2026 Base Rates'!E:E,MATCH('2027 GSLDPR Rate Class E-13c'!B128,'2026 Base Rates'!D:D,0))</f>
        <v>-1.0804692210000001E-3</v>
      </c>
      <c r="K128" s="8"/>
      <c r="L128" s="33">
        <f>+H128*J128</f>
        <v>0</v>
      </c>
      <c r="M128" s="8"/>
      <c r="N128" s="57"/>
      <c r="O128" s="8">
        <f>+INDEX('2025 Billing Determinants'!B:B,MATCH('2027 GSLDPR Rate Class E-13c'!A128,'2025 Billing Determinants'!A:A,0))</f>
        <v>0</v>
      </c>
      <c r="P128" s="8" t="s">
        <v>839</v>
      </c>
      <c r="Q128" s="106">
        <f t="shared" ref="Q128:Q129" si="47">+J128*(1+$B$7)</f>
        <v>-1.1238826093584327E-3</v>
      </c>
      <c r="R128" s="8"/>
      <c r="S128" s="33">
        <f>+O128*Q128</f>
        <v>0</v>
      </c>
      <c r="T128" s="8"/>
      <c r="U128" s="32">
        <f t="shared" ref="U128:U130" si="48">+S128-L128</f>
        <v>0</v>
      </c>
      <c r="V128" s="41">
        <f t="shared" ref="V128:V130" si="49">+IF(U128=0,0,(S128-L128)/L128)</f>
        <v>0</v>
      </c>
    </row>
    <row r="129" spans="1:22" x14ac:dyDescent="0.25">
      <c r="A129" s="59" t="s">
        <v>265</v>
      </c>
      <c r="B129" s="59" t="s">
        <v>917</v>
      </c>
      <c r="D129" s="57">
        <v>5</v>
      </c>
      <c r="E129" s="8" t="s">
        <v>746</v>
      </c>
      <c r="F129" s="8"/>
      <c r="G129" s="8"/>
      <c r="H129" s="206">
        <f>+INDEX('2025 Billing Determinants'!B:B,MATCH('2027 GSLDPR Rate Class E-13c'!A129,'2025 Billing Determinants'!A:A,0))</f>
        <v>0</v>
      </c>
      <c r="I129" s="8" t="s">
        <v>839</v>
      </c>
      <c r="J129" s="106">
        <f>+INDEX('2026 Base Rates'!E:E,MATCH('2027 GSLDPR Rate Class E-13c'!B129,'2026 Base Rates'!D:D,0))</f>
        <v>-1.0804692210000001E-3</v>
      </c>
      <c r="K129" s="8"/>
      <c r="L129" s="33">
        <f>+H129*J129</f>
        <v>0</v>
      </c>
      <c r="M129" s="8"/>
      <c r="N129" s="57"/>
      <c r="O129" s="206">
        <f>+INDEX('2025 Billing Determinants'!B:B,MATCH('2027 GSLDPR Rate Class E-13c'!A129,'2025 Billing Determinants'!A:A,0))</f>
        <v>0</v>
      </c>
      <c r="P129" s="8" t="s">
        <v>839</v>
      </c>
      <c r="Q129" s="106">
        <f t="shared" si="47"/>
        <v>-1.1238826093584327E-3</v>
      </c>
      <c r="R129" s="8"/>
      <c r="S129" s="33">
        <f>+O129*Q129</f>
        <v>0</v>
      </c>
      <c r="T129" s="8"/>
      <c r="U129" s="32">
        <f t="shared" si="48"/>
        <v>0</v>
      </c>
      <c r="V129" s="41">
        <f t="shared" si="49"/>
        <v>0</v>
      </c>
    </row>
    <row r="130" spans="1:22" x14ac:dyDescent="0.25">
      <c r="A130" s="59"/>
      <c r="B130" s="59"/>
      <c r="D130" s="57">
        <v>6</v>
      </c>
      <c r="E130" s="31" t="s">
        <v>747</v>
      </c>
      <c r="F130" s="31"/>
      <c r="G130" s="8"/>
      <c r="H130" s="8">
        <f>+SUM(H128:H129)</f>
        <v>0</v>
      </c>
      <c r="I130" s="8" t="s">
        <v>839</v>
      </c>
      <c r="J130" s="8"/>
      <c r="K130" s="8"/>
      <c r="L130" s="101">
        <f>+SUM(L128:L129)</f>
        <v>0</v>
      </c>
      <c r="M130" s="8"/>
      <c r="N130" s="57"/>
      <c r="O130" s="8">
        <f>+SUM(O128:O129)</f>
        <v>0</v>
      </c>
      <c r="P130" s="8" t="s">
        <v>839</v>
      </c>
      <c r="Q130" s="8"/>
      <c r="R130" s="8"/>
      <c r="S130" s="101">
        <f>+SUM(S128:S129)</f>
        <v>0</v>
      </c>
      <c r="T130" s="8"/>
      <c r="U130" s="32">
        <f t="shared" si="48"/>
        <v>0</v>
      </c>
      <c r="V130" s="41">
        <f t="shared" si="49"/>
        <v>0</v>
      </c>
    </row>
    <row r="131" spans="1:22" x14ac:dyDescent="0.25">
      <c r="A131" s="59"/>
      <c r="B131" s="59"/>
      <c r="D131" s="57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 x14ac:dyDescent="0.25">
      <c r="A132" s="59"/>
      <c r="B132" s="59"/>
      <c r="D132" s="57">
        <v>8</v>
      </c>
      <c r="E132" s="31" t="s">
        <v>766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 x14ac:dyDescent="0.25">
      <c r="A133" s="59" t="s">
        <v>238</v>
      </c>
      <c r="B133" s="59" t="s">
        <v>619</v>
      </c>
      <c r="D133" s="57">
        <v>9</v>
      </c>
      <c r="E133" s="193" t="s">
        <v>745</v>
      </c>
      <c r="F133" s="31"/>
      <c r="G133" s="8"/>
      <c r="H133" s="8">
        <f>+INDEX('2025 Billing Determinants'!B:B,MATCH('2027 GSLDPR Rate Class E-13c'!A133,'2025 Billing Determinants'!A:A,0))</f>
        <v>0</v>
      </c>
      <c r="I133" s="32" t="s">
        <v>729</v>
      </c>
      <c r="J133" s="47">
        <f>+INDEX('2026 Base Rates'!E:E,MATCH('2027 GSLDPR Rate Class E-13c'!B133,'2026 Base Rates'!D:D,0))</f>
        <v>1.080469221</v>
      </c>
      <c r="K133" s="32"/>
      <c r="L133" s="32">
        <f>+H133*J133</f>
        <v>0</v>
      </c>
      <c r="M133" s="32"/>
      <c r="N133" s="42"/>
      <c r="O133" s="8">
        <f>+INDEX('2025 Billing Determinants'!B:B,MATCH('2027 GSLDPR Rate Class E-13c'!A133,'2025 Billing Determinants'!A:A,0))</f>
        <v>0</v>
      </c>
      <c r="P133" s="32" t="s">
        <v>729</v>
      </c>
      <c r="Q133" s="47">
        <f t="shared" ref="Q133:Q134" si="50">+J133*(1+$B$7)</f>
        <v>1.1238826093584326</v>
      </c>
      <c r="R133" s="32"/>
      <c r="S133" s="32">
        <f>+O133*Q133</f>
        <v>0</v>
      </c>
      <c r="T133" s="8"/>
      <c r="U133" s="32">
        <f t="shared" ref="U133:U135" si="51">+S133-L133</f>
        <v>0</v>
      </c>
      <c r="V133" s="41">
        <f t="shared" ref="V133:V135" si="52">+IF(U133=0,0,(S133-L133)/L133)</f>
        <v>0</v>
      </c>
    </row>
    <row r="134" spans="1:22" ht="16.5" x14ac:dyDescent="0.35">
      <c r="A134" s="59" t="s">
        <v>262</v>
      </c>
      <c r="B134" s="59" t="s">
        <v>631</v>
      </c>
      <c r="D134" s="57">
        <v>10</v>
      </c>
      <c r="E134" s="8" t="s">
        <v>746</v>
      </c>
      <c r="F134" s="8"/>
      <c r="G134" s="8"/>
      <c r="H134" s="206">
        <f>+INDEX('2025 Billing Determinants'!B:B,MATCH('2027 GSLDPR Rate Class E-13c'!A134,'2025 Billing Determinants'!A:A,0))</f>
        <v>0</v>
      </c>
      <c r="I134" s="32" t="s">
        <v>729</v>
      </c>
      <c r="J134" s="47">
        <f>+INDEX('2026 Base Rates'!E:E,MATCH('2027 GSLDPR Rate Class E-13c'!B134,'2026 Base Rates'!D:D,0))</f>
        <v>1.080469221</v>
      </c>
      <c r="K134" s="32"/>
      <c r="L134" s="105">
        <f>+H134*J134</f>
        <v>0</v>
      </c>
      <c r="M134" s="32"/>
      <c r="N134" s="42"/>
      <c r="O134" s="206">
        <f>+INDEX('2025 Billing Determinants'!B:B,MATCH('2027 GSLDPR Rate Class E-13c'!A134,'2025 Billing Determinants'!A:A,0))</f>
        <v>0</v>
      </c>
      <c r="P134" s="32" t="s">
        <v>729</v>
      </c>
      <c r="Q134" s="47">
        <f t="shared" si="50"/>
        <v>1.1238826093584326</v>
      </c>
      <c r="R134" s="32"/>
      <c r="S134" s="105">
        <f>+O134*Q134</f>
        <v>0</v>
      </c>
      <c r="T134" s="8"/>
      <c r="U134" s="32">
        <f t="shared" si="51"/>
        <v>0</v>
      </c>
      <c r="V134" s="41">
        <f t="shared" si="52"/>
        <v>0</v>
      </c>
    </row>
    <row r="135" spans="1:22" x14ac:dyDescent="0.25">
      <c r="A135" s="59"/>
      <c r="B135" s="59"/>
      <c r="D135" s="57">
        <v>11</v>
      </c>
      <c r="E135" s="8" t="s">
        <v>335</v>
      </c>
      <c r="F135" s="8"/>
      <c r="G135" s="8"/>
      <c r="H135" s="8">
        <f>+SUM(H133:H134)</f>
        <v>0</v>
      </c>
      <c r="I135" s="8"/>
      <c r="J135" s="8"/>
      <c r="K135" s="8"/>
      <c r="L135" s="212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212">
        <f>+SUM(S133:S134)</f>
        <v>0</v>
      </c>
      <c r="T135" s="8"/>
      <c r="U135" s="32">
        <f t="shared" si="51"/>
        <v>0</v>
      </c>
      <c r="V135" s="41">
        <f t="shared" si="52"/>
        <v>0</v>
      </c>
    </row>
    <row r="136" spans="1:22" x14ac:dyDescent="0.25">
      <c r="A136" s="59"/>
      <c r="B136" s="59"/>
      <c r="D136" s="57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 x14ac:dyDescent="0.25">
      <c r="A137" s="59"/>
      <c r="B137" s="59"/>
      <c r="D137" s="57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 x14ac:dyDescent="0.25">
      <c r="A138" s="59"/>
      <c r="B138" s="59"/>
      <c r="D138" s="57">
        <v>14</v>
      </c>
      <c r="E138" s="8" t="s">
        <v>811</v>
      </c>
      <c r="F138" s="8"/>
      <c r="G138" s="8"/>
      <c r="H138" s="8"/>
      <c r="I138" s="8"/>
      <c r="J138" s="8"/>
      <c r="K138" s="8"/>
      <c r="L138" s="8"/>
      <c r="M138" s="8"/>
      <c r="N138" s="57"/>
      <c r="O138" s="8"/>
      <c r="P138" s="8"/>
      <c r="Q138" s="8"/>
      <c r="R138" s="8"/>
      <c r="S138" s="8"/>
      <c r="T138" s="8"/>
      <c r="U138" s="8"/>
      <c r="V138" s="8"/>
    </row>
    <row r="139" spans="1:22" x14ac:dyDescent="0.25">
      <c r="A139" s="59"/>
      <c r="B139" s="59" t="s">
        <v>609</v>
      </c>
      <c r="D139" s="57">
        <v>15</v>
      </c>
      <c r="E139" s="31" t="s">
        <v>387</v>
      </c>
      <c r="F139" s="8"/>
      <c r="G139" s="8"/>
      <c r="H139" s="213">
        <v>0</v>
      </c>
      <c r="I139" s="8" t="s">
        <v>806</v>
      </c>
      <c r="J139" s="107">
        <f>+INDEX('2026 Base Rates'!E:E,MATCH('2027 GSLDPR Rate Class E-13c'!B139,'2026 Base Rates'!D:D,0))</f>
        <v>-0.01</v>
      </c>
      <c r="K139" s="8"/>
      <c r="L139" s="32">
        <f>+H139*J139</f>
        <v>0</v>
      </c>
      <c r="M139" s="8"/>
      <c r="N139" s="57"/>
      <c r="O139" s="213">
        <v>0</v>
      </c>
      <c r="P139" s="8" t="s">
        <v>806</v>
      </c>
      <c r="Q139" s="107">
        <f>+J139</f>
        <v>-0.01</v>
      </c>
      <c r="R139" s="8"/>
      <c r="S139" s="32">
        <f>+O139*Q139</f>
        <v>0</v>
      </c>
      <c r="T139" s="8"/>
      <c r="U139" s="32">
        <f t="shared" ref="U139:U141" si="53">+S139-L139</f>
        <v>0</v>
      </c>
      <c r="V139" s="41">
        <f t="shared" ref="V139:V141" si="54">+IF(U139=0,0,(S139-L139)/L139)</f>
        <v>0</v>
      </c>
    </row>
    <row r="140" spans="1:22" x14ac:dyDescent="0.25">
      <c r="A140" s="59"/>
      <c r="B140" s="59" t="s">
        <v>610</v>
      </c>
      <c r="D140" s="57">
        <v>16</v>
      </c>
      <c r="E140" s="8" t="s">
        <v>734</v>
      </c>
      <c r="F140" s="8"/>
      <c r="G140" s="8"/>
      <c r="H140" s="214">
        <v>0</v>
      </c>
      <c r="I140" s="8" t="s">
        <v>806</v>
      </c>
      <c r="J140" s="107">
        <f>+INDEX('2026 Base Rates'!E:E,MATCH('2027 GSLDPR Rate Class E-13c'!B140,'2026 Base Rates'!D:D,0))</f>
        <v>-0.01</v>
      </c>
      <c r="K140" s="8"/>
      <c r="L140" s="214">
        <f>+H140*J140</f>
        <v>0</v>
      </c>
      <c r="M140" s="8"/>
      <c r="N140" s="57"/>
      <c r="O140" s="214">
        <v>0</v>
      </c>
      <c r="P140" s="8" t="s">
        <v>806</v>
      </c>
      <c r="Q140" s="107">
        <f>+J140</f>
        <v>-0.01</v>
      </c>
      <c r="R140" s="8"/>
      <c r="S140" s="214">
        <f>+O140*Q140</f>
        <v>0</v>
      </c>
      <c r="T140" s="8"/>
      <c r="U140" s="32">
        <f t="shared" si="53"/>
        <v>0</v>
      </c>
      <c r="V140" s="41">
        <f t="shared" si="54"/>
        <v>0</v>
      </c>
    </row>
    <row r="141" spans="1:22" x14ac:dyDescent="0.25">
      <c r="A141" s="59"/>
      <c r="B141" s="59"/>
      <c r="D141" s="57">
        <v>17</v>
      </c>
      <c r="E141" s="8" t="s">
        <v>330</v>
      </c>
      <c r="F141" s="8"/>
      <c r="G141" s="8"/>
      <c r="H141" s="213">
        <f>+SUM(H139:H140)</f>
        <v>0</v>
      </c>
      <c r="I141" s="8" t="s">
        <v>806</v>
      </c>
      <c r="J141" s="8"/>
      <c r="K141" s="8"/>
      <c r="L141" s="49">
        <f>+SUM(L139:L140)</f>
        <v>0</v>
      </c>
      <c r="M141" s="8"/>
      <c r="N141" s="57"/>
      <c r="O141" s="213">
        <f>+SUM(O139:O140)</f>
        <v>0</v>
      </c>
      <c r="P141" s="8" t="s">
        <v>806</v>
      </c>
      <c r="Q141" s="8"/>
      <c r="R141" s="8"/>
      <c r="S141" s="49">
        <f>+SUM(S139:S140)</f>
        <v>0</v>
      </c>
      <c r="T141" s="8"/>
      <c r="U141" s="32">
        <f t="shared" si="53"/>
        <v>0</v>
      </c>
      <c r="V141" s="41">
        <f t="shared" si="54"/>
        <v>0</v>
      </c>
    </row>
    <row r="142" spans="1:22" x14ac:dyDescent="0.25">
      <c r="A142" s="59"/>
      <c r="B142" s="59"/>
      <c r="D142" s="57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25">
      <c r="A143" s="59"/>
      <c r="B143" s="59"/>
      <c r="D143" s="57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15.75" thickBot="1" x14ac:dyDescent="0.3">
      <c r="A144" s="59"/>
      <c r="B144" s="59"/>
      <c r="D144" s="57">
        <v>20</v>
      </c>
      <c r="E144" s="31" t="s">
        <v>336</v>
      </c>
      <c r="F144" s="8"/>
      <c r="G144" s="8"/>
      <c r="H144" s="8"/>
      <c r="I144" s="8"/>
      <c r="J144" s="8"/>
      <c r="K144" s="8"/>
      <c r="L144" s="103">
        <f>+L75+L82+L89+L95+L104+L109+L130+L135+L141</f>
        <v>1038241.2534453657</v>
      </c>
      <c r="M144" s="32"/>
      <c r="N144" s="42"/>
      <c r="O144" s="32"/>
      <c r="P144" s="8"/>
      <c r="Q144" s="8"/>
      <c r="R144" s="8"/>
      <c r="S144" s="103">
        <f>+S75+S82+S89+S95+S104+S109+S130+S135+S141</f>
        <v>1079957.9167889571</v>
      </c>
      <c r="T144" s="8"/>
      <c r="U144" s="32">
        <f>+S144-L144</f>
        <v>41716.663343591383</v>
      </c>
      <c r="V144" s="41">
        <f>+IF(U144=0,0,(S144-L144)/L144)</f>
        <v>4.0180124999999914E-2</v>
      </c>
    </row>
    <row r="145" spans="1:22" ht="15.75" thickTop="1" x14ac:dyDescent="0.25">
      <c r="A145" s="59"/>
      <c r="B145" s="59"/>
      <c r="D145" s="57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25">
      <c r="A146" s="59"/>
      <c r="B146" s="59"/>
      <c r="D146" s="57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 x14ac:dyDescent="0.25">
      <c r="A147" s="59"/>
      <c r="B147" s="59"/>
      <c r="D147" s="57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 x14ac:dyDescent="0.25">
      <c r="A148" s="59"/>
      <c r="B148" s="59"/>
      <c r="D148" s="57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 x14ac:dyDescent="0.25">
      <c r="A149" s="59"/>
      <c r="B149" s="59"/>
      <c r="D149" s="57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 x14ac:dyDescent="0.25">
      <c r="A150" s="59"/>
      <c r="B150" s="59"/>
      <c r="D150" s="57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 x14ac:dyDescent="0.25">
      <c r="A151" s="59"/>
      <c r="B151" s="59"/>
      <c r="D151" s="57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 x14ac:dyDescent="0.25">
      <c r="A152" s="59"/>
      <c r="B152" s="59"/>
      <c r="D152" s="57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 x14ac:dyDescent="0.25">
      <c r="A153" s="59"/>
      <c r="B153" s="59"/>
      <c r="D153" s="57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 x14ac:dyDescent="0.25">
      <c r="A154" s="59"/>
      <c r="B154" s="59"/>
      <c r="D154" s="57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 x14ac:dyDescent="0.25">
      <c r="A155" s="59"/>
      <c r="B155" s="59"/>
      <c r="D155" s="57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 x14ac:dyDescent="0.25">
      <c r="A156" s="59"/>
      <c r="B156" s="59"/>
      <c r="D156" s="57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 x14ac:dyDescent="0.25">
      <c r="A157" s="59"/>
      <c r="B157" s="59"/>
      <c r="D157" s="57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 x14ac:dyDescent="0.25">
      <c r="A158" s="59"/>
      <c r="B158" s="59"/>
      <c r="D158" s="57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 x14ac:dyDescent="0.25">
      <c r="A159" s="59"/>
      <c r="B159" s="59"/>
      <c r="D159" s="57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 x14ac:dyDescent="0.25">
      <c r="A160" s="59"/>
      <c r="B160" s="59"/>
      <c r="D160" s="57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 x14ac:dyDescent="0.25">
      <c r="A161" s="59"/>
      <c r="B161" s="59"/>
      <c r="D161" s="57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 x14ac:dyDescent="0.25">
      <c r="A162" s="59"/>
      <c r="B162" s="59"/>
      <c r="D162" s="57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.75" thickBot="1" x14ac:dyDescent="0.3">
      <c r="A163" s="59"/>
      <c r="B163" s="59"/>
      <c r="D163" s="58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304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85091-EF1D-4BDD-AC2B-CE3F24DD0F47}">
  <sheetPr>
    <pageSetUpPr fitToPage="1"/>
  </sheetPr>
  <dimension ref="A3:V164"/>
  <sheetViews>
    <sheetView topLeftCell="B119" workbookViewId="0">
      <selection activeCell="H138" sqref="H138"/>
    </sheetView>
  </sheetViews>
  <sheetFormatPr defaultRowHeight="15" x14ac:dyDescent="0.25"/>
  <cols>
    <col min="1" max="1" width="36.28515625" bestFit="1" customWidth="1"/>
    <col min="2" max="2" width="38.28515625" bestFit="1" customWidth="1"/>
    <col min="5" max="5" width="10.7109375" customWidth="1"/>
    <col min="8" max="8" width="11.85546875" customWidth="1"/>
    <col min="10" max="10" width="10" bestFit="1" customWidth="1"/>
    <col min="12" max="12" width="11.140625" customWidth="1"/>
    <col min="15" max="15" width="11.7109375" customWidth="1"/>
    <col min="17" max="17" width="10" bestFit="1" customWidth="1"/>
    <col min="19" max="19" width="13.140625" customWidth="1"/>
    <col min="21" max="21" width="10.7109375" customWidth="1"/>
    <col min="22" max="22" width="18.7109375" bestFit="1" customWidth="1"/>
  </cols>
  <sheetData>
    <row r="3" spans="1:22" x14ac:dyDescent="0.25">
      <c r="D3" s="8"/>
      <c r="E3" s="8"/>
      <c r="F3" s="8"/>
      <c r="G3" s="8"/>
      <c r="H3" s="8"/>
      <c r="I3" s="8"/>
      <c r="J3" s="8"/>
      <c r="K3" s="378"/>
      <c r="L3" s="378"/>
      <c r="M3" s="378"/>
      <c r="N3" s="378"/>
      <c r="O3" s="378"/>
      <c r="P3" s="8"/>
      <c r="Q3" s="8"/>
      <c r="R3" s="8"/>
      <c r="S3" s="8"/>
      <c r="T3" s="8"/>
      <c r="U3" s="8"/>
      <c r="V3" s="8"/>
    </row>
    <row r="4" spans="1:22" ht="15.75" thickBot="1" x14ac:dyDescent="0.3">
      <c r="D4" s="9" t="s">
        <v>305</v>
      </c>
      <c r="E4" s="9"/>
      <c r="F4" s="9"/>
      <c r="G4" s="9"/>
      <c r="H4" s="9"/>
      <c r="I4" s="9"/>
      <c r="J4" s="9"/>
      <c r="K4" s="379" t="s">
        <v>306</v>
      </c>
      <c r="L4" s="379"/>
      <c r="M4" s="379"/>
      <c r="N4" s="379"/>
      <c r="O4" s="379"/>
      <c r="P4" s="9"/>
      <c r="Q4" s="9"/>
      <c r="R4" s="9"/>
      <c r="S4" s="9"/>
      <c r="T4" s="9"/>
      <c r="U4" s="9"/>
      <c r="V4" s="13" t="s">
        <v>886</v>
      </c>
    </row>
    <row r="5" spans="1:22" x14ac:dyDescent="0.25">
      <c r="A5" s="60" t="s">
        <v>711</v>
      </c>
      <c r="B5" s="61">
        <f>+'Operating Revenue Requirement'!F8</f>
        <v>33055703.985668611</v>
      </c>
      <c r="D5" s="8" t="s">
        <v>307</v>
      </c>
      <c r="E5" s="8"/>
      <c r="F5" s="8"/>
      <c r="G5" s="8"/>
      <c r="H5" s="8" t="s">
        <v>308</v>
      </c>
      <c r="I5" s="8"/>
      <c r="J5" s="8" t="s">
        <v>910</v>
      </c>
      <c r="K5" s="8"/>
      <c r="L5" s="8"/>
      <c r="M5" s="8"/>
      <c r="N5" s="98"/>
      <c r="O5" s="99"/>
      <c r="P5" s="8"/>
      <c r="Q5" s="8"/>
      <c r="R5" s="99"/>
      <c r="S5" s="99" t="s">
        <v>309</v>
      </c>
      <c r="T5" s="8"/>
      <c r="U5" s="8"/>
      <c r="V5" s="10"/>
    </row>
    <row r="6" spans="1:22" x14ac:dyDescent="0.25">
      <c r="D6" s="8"/>
      <c r="E6" s="8"/>
      <c r="F6" s="8"/>
      <c r="G6" s="8"/>
      <c r="H6" s="8"/>
      <c r="I6" s="8"/>
      <c r="J6" s="8" t="s">
        <v>911</v>
      </c>
      <c r="K6" s="8"/>
      <c r="L6" s="8"/>
      <c r="M6" s="8"/>
      <c r="N6" s="57"/>
      <c r="O6" s="10"/>
      <c r="P6" s="8"/>
      <c r="Q6" s="8"/>
      <c r="R6" s="11"/>
      <c r="S6" s="11"/>
      <c r="T6" s="117" t="s">
        <v>916</v>
      </c>
      <c r="U6" s="116" t="s">
        <v>1512</v>
      </c>
      <c r="V6" s="11"/>
    </row>
    <row r="7" spans="1:22" x14ac:dyDescent="0.25">
      <c r="A7" s="62" t="s">
        <v>713</v>
      </c>
      <c r="B7" s="64">
        <v>4.0180130000000001E-2</v>
      </c>
      <c r="D7" s="8" t="s">
        <v>310</v>
      </c>
      <c r="E7" s="8"/>
      <c r="F7" s="8"/>
      <c r="G7" s="8"/>
      <c r="H7" s="8"/>
      <c r="I7" s="8"/>
      <c r="J7" s="8" t="s">
        <v>912</v>
      </c>
      <c r="K7" s="8"/>
      <c r="L7" s="8"/>
      <c r="M7" s="8"/>
      <c r="N7" s="57"/>
      <c r="O7" s="10"/>
      <c r="P7" s="11"/>
      <c r="Q7" s="8"/>
      <c r="R7" s="8"/>
      <c r="S7" s="11"/>
      <c r="T7" s="265"/>
      <c r="U7" s="116"/>
      <c r="V7" s="11"/>
    </row>
    <row r="8" spans="1:22" x14ac:dyDescent="0.25">
      <c r="A8" s="62" t="s">
        <v>712</v>
      </c>
      <c r="B8" s="63">
        <f>+(S50+S138)</f>
        <v>33055704.400108412</v>
      </c>
      <c r="D8" s="8"/>
      <c r="E8" s="8"/>
      <c r="F8" s="8"/>
      <c r="G8" s="8"/>
      <c r="H8" s="8"/>
      <c r="I8" s="8"/>
      <c r="J8" s="8" t="s">
        <v>913</v>
      </c>
      <c r="K8" s="8"/>
      <c r="L8" s="8"/>
      <c r="M8" s="8"/>
      <c r="N8" s="57"/>
      <c r="O8" s="10"/>
      <c r="P8" s="11"/>
      <c r="Q8" s="8"/>
      <c r="R8" s="8"/>
      <c r="S8" s="11"/>
      <c r="T8" s="265"/>
      <c r="U8" s="116"/>
      <c r="V8" s="11"/>
    </row>
    <row r="9" spans="1:22" x14ac:dyDescent="0.25">
      <c r="D9" s="8"/>
      <c r="E9" s="8"/>
      <c r="F9" s="11"/>
      <c r="G9" s="8"/>
      <c r="H9" s="8"/>
      <c r="I9" s="8"/>
      <c r="J9" s="8" t="s">
        <v>914</v>
      </c>
      <c r="K9" s="12"/>
      <c r="L9" s="12"/>
      <c r="M9" s="12"/>
      <c r="N9" s="57"/>
      <c r="O9" s="8"/>
      <c r="P9" s="8"/>
      <c r="Q9" s="8"/>
      <c r="R9" s="8"/>
      <c r="S9" s="8"/>
      <c r="T9" s="265"/>
      <c r="V9" s="8"/>
    </row>
    <row r="10" spans="1:22" ht="15.75" thickBot="1" x14ac:dyDescent="0.3">
      <c r="D10" s="9" t="s">
        <v>1292</v>
      </c>
      <c r="E10" s="9"/>
      <c r="F10" s="13"/>
      <c r="G10" s="14"/>
      <c r="H10" s="14"/>
      <c r="I10" s="14"/>
      <c r="J10" s="15" t="s">
        <v>915</v>
      </c>
      <c r="K10" s="14"/>
      <c r="L10" s="14"/>
      <c r="M10" s="14"/>
      <c r="N10" s="14"/>
      <c r="O10" s="14"/>
      <c r="P10" s="14"/>
      <c r="Q10" s="15"/>
      <c r="R10" s="14"/>
      <c r="S10" s="14"/>
      <c r="T10" s="14"/>
      <c r="U10" s="114" t="s">
        <v>1519</v>
      </c>
      <c r="V10" s="14"/>
    </row>
    <row r="11" spans="1:22" x14ac:dyDescent="0.2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12"/>
      <c r="R11" s="8"/>
      <c r="S11" s="8"/>
      <c r="T11" s="8"/>
      <c r="U11" s="8"/>
      <c r="V11" s="8"/>
    </row>
    <row r="12" spans="1:22" x14ac:dyDescent="0.25">
      <c r="D12" s="8"/>
      <c r="E12" s="8"/>
      <c r="F12" s="8"/>
      <c r="G12" s="8"/>
      <c r="H12" s="16"/>
      <c r="I12" s="8"/>
      <c r="J12" s="8"/>
      <c r="K12" s="16"/>
      <c r="L12" s="8"/>
      <c r="M12" s="8"/>
      <c r="N12" s="12"/>
      <c r="O12" s="8"/>
      <c r="P12" s="16"/>
      <c r="Q12" s="8"/>
      <c r="R12" s="8"/>
      <c r="S12" s="8"/>
      <c r="T12" s="8"/>
      <c r="U12" s="8"/>
      <c r="V12" s="8"/>
    </row>
    <row r="13" spans="1:22" x14ac:dyDescent="0.25">
      <c r="D13" s="8"/>
      <c r="E13" s="8"/>
      <c r="F13" s="8"/>
      <c r="G13" s="8"/>
      <c r="H13" s="8"/>
      <c r="I13" s="16"/>
      <c r="J13" s="16"/>
      <c r="K13" s="17"/>
      <c r="L13" s="17" t="s">
        <v>311</v>
      </c>
      <c r="M13" s="12"/>
      <c r="N13" s="18" t="s">
        <v>743</v>
      </c>
      <c r="O13" s="16"/>
      <c r="P13" s="8"/>
      <c r="Q13" s="16"/>
      <c r="R13" s="16"/>
      <c r="S13" s="16"/>
      <c r="T13" s="16"/>
      <c r="U13" s="16"/>
      <c r="V13" s="8"/>
    </row>
    <row r="14" spans="1:22" x14ac:dyDescent="0.25">
      <c r="D14" s="8"/>
      <c r="E14" s="8"/>
      <c r="F14" s="8"/>
      <c r="G14" s="8"/>
      <c r="H14" s="8"/>
      <c r="I14" s="16"/>
      <c r="J14" s="16"/>
      <c r="K14" s="16"/>
      <c r="L14" s="16"/>
      <c r="M14" s="16"/>
      <c r="N14" s="12"/>
      <c r="O14" s="16"/>
      <c r="P14" s="16"/>
      <c r="Q14" s="16"/>
      <c r="R14" s="16"/>
      <c r="S14" s="16"/>
      <c r="T14" s="16"/>
      <c r="U14" s="16"/>
      <c r="V14" s="16"/>
    </row>
    <row r="15" spans="1:22" x14ac:dyDescent="0.25">
      <c r="D15" s="57" t="s">
        <v>313</v>
      </c>
      <c r="E15" s="196" t="s">
        <v>314</v>
      </c>
      <c r="F15" s="20"/>
      <c r="G15" s="21"/>
      <c r="H15" s="22"/>
      <c r="I15" s="22"/>
      <c r="J15" s="23" t="s">
        <v>315</v>
      </c>
      <c r="K15" s="22"/>
      <c r="L15" s="22"/>
      <c r="M15" s="20"/>
      <c r="N15" s="24"/>
      <c r="O15" s="22"/>
      <c r="P15" s="23"/>
      <c r="Q15" s="23" t="s">
        <v>316</v>
      </c>
      <c r="R15" s="22"/>
      <c r="S15" s="22"/>
      <c r="T15" s="20"/>
      <c r="U15" s="25" t="s">
        <v>317</v>
      </c>
      <c r="V15" s="25" t="s">
        <v>318</v>
      </c>
    </row>
    <row r="16" spans="1:22" ht="15.75" thickBot="1" x14ac:dyDescent="0.3">
      <c r="A16" s="85" t="s">
        <v>551</v>
      </c>
      <c r="B16" s="85" t="s">
        <v>552</v>
      </c>
      <c r="D16" s="58" t="s">
        <v>319</v>
      </c>
      <c r="E16" s="192" t="s">
        <v>320</v>
      </c>
      <c r="F16" s="27"/>
      <c r="G16" s="9"/>
      <c r="H16" s="58" t="s">
        <v>321</v>
      </c>
      <c r="I16" s="28"/>
      <c r="J16" s="28" t="s">
        <v>322</v>
      </c>
      <c r="K16" s="28"/>
      <c r="L16" s="28" t="s">
        <v>323</v>
      </c>
      <c r="M16" s="28"/>
      <c r="N16" s="28"/>
      <c r="O16" s="28" t="s">
        <v>321</v>
      </c>
      <c r="P16" s="28"/>
      <c r="Q16" s="28" t="s">
        <v>322</v>
      </c>
      <c r="R16" s="28"/>
      <c r="S16" s="28" t="s">
        <v>323</v>
      </c>
      <c r="T16" s="27"/>
      <c r="U16" s="29" t="s">
        <v>324</v>
      </c>
      <c r="V16" s="29" t="s">
        <v>325</v>
      </c>
    </row>
    <row r="17" spans="1:22" x14ac:dyDescent="0.25">
      <c r="D17" s="57">
        <v>1</v>
      </c>
      <c r="E17" s="31" t="s">
        <v>326</v>
      </c>
      <c r="F17" s="31"/>
      <c r="G17" s="8"/>
      <c r="H17" s="8"/>
      <c r="I17" s="32"/>
      <c r="J17" s="32"/>
      <c r="K17" s="32"/>
      <c r="L17" s="32"/>
      <c r="M17" s="33"/>
      <c r="N17" s="42"/>
      <c r="O17" s="33"/>
      <c r="P17" s="32"/>
      <c r="Q17" s="32"/>
      <c r="R17" s="32"/>
      <c r="S17" s="32"/>
      <c r="T17" s="32"/>
      <c r="U17" s="32"/>
      <c r="V17" s="32"/>
    </row>
    <row r="18" spans="1:22" x14ac:dyDescent="0.25">
      <c r="A18" s="59" t="s">
        <v>208</v>
      </c>
      <c r="B18" s="59" t="s">
        <v>701</v>
      </c>
      <c r="D18" s="57">
        <v>2</v>
      </c>
      <c r="E18" s="31" t="s">
        <v>396</v>
      </c>
      <c r="F18" s="8"/>
      <c r="G18" s="8"/>
      <c r="H18" s="32">
        <f>+INDEX('2025 Billing Determinants'!B:B,MATCH('2027 GSLDSU Rate Class E-13c'!A18,'2025 Billing Determinants'!A:A,0))</f>
        <v>0</v>
      </c>
      <c r="I18" s="32" t="s">
        <v>328</v>
      </c>
      <c r="J18" s="39">
        <f>+INDEX('2026 Base Rates'!E:E,MATCH('2027 GSLDSU Rate Class E-13c'!B18,'2026 Base Rates'!D:D,0))</f>
        <v>135.18576468178648</v>
      </c>
      <c r="K18" s="32"/>
      <c r="L18" s="32">
        <f>+H18*J18</f>
        <v>0</v>
      </c>
      <c r="M18" s="8"/>
      <c r="N18" s="57"/>
      <c r="O18" s="32">
        <f>+INDEX('2025 Billing Determinants'!B:B,MATCH('2027 GSLDSU Rate Class E-13c'!A18,'2025 Billing Determinants'!A:A,0))</f>
        <v>0</v>
      </c>
      <c r="P18" s="32" t="s">
        <v>328</v>
      </c>
      <c r="Q18" s="39">
        <f>+J18*(1+$B$7)</f>
        <v>140.61754628085006</v>
      </c>
      <c r="R18" s="32"/>
      <c r="S18" s="32">
        <f>+O18*Q18</f>
        <v>0</v>
      </c>
      <c r="T18" s="32"/>
      <c r="U18" s="32">
        <f>+S18-L18</f>
        <v>0</v>
      </c>
      <c r="V18" s="41">
        <f>+IF(U18=0,0,(S18-L18)/L18)</f>
        <v>0</v>
      </c>
    </row>
    <row r="19" spans="1:22" ht="16.5" x14ac:dyDescent="0.35">
      <c r="A19" s="59" t="s">
        <v>226</v>
      </c>
      <c r="B19" s="59" t="s">
        <v>702</v>
      </c>
      <c r="D19" s="57">
        <v>3</v>
      </c>
      <c r="E19" s="8" t="s">
        <v>928</v>
      </c>
      <c r="F19" s="8"/>
      <c r="G19" s="8"/>
      <c r="H19" s="105">
        <f>+INDEX('2025 Billing Determinants'!B:B,MATCH('2027 GSLDSU Rate Class E-13c'!A19,'2025 Billing Determinants'!A:A,0))</f>
        <v>1453.37</v>
      </c>
      <c r="I19" s="32" t="s">
        <v>328</v>
      </c>
      <c r="J19" s="39">
        <f>+INDEX('2026 Base Rates'!E:E,MATCH('2027 GSLDSU Rate Class E-13c'!B19,'2026 Base Rates'!D:D,0))</f>
        <v>135.18576468178648</v>
      </c>
      <c r="K19" s="8"/>
      <c r="L19" s="105">
        <f>+H19*J19</f>
        <v>196474.93481556801</v>
      </c>
      <c r="M19" s="8"/>
      <c r="N19" s="57"/>
      <c r="O19" s="105">
        <f>+INDEX('2025 Billing Determinants'!B:B,MATCH('2027 GSLDSU Rate Class E-13c'!A19,'2025 Billing Determinants'!A:A,0))</f>
        <v>1453.37</v>
      </c>
      <c r="P19" s="32" t="s">
        <v>328</v>
      </c>
      <c r="Q19" s="39">
        <f>+J19*(1+$B$7)</f>
        <v>140.61754628085006</v>
      </c>
      <c r="R19" s="8"/>
      <c r="S19" s="105">
        <f>+O19*Q19</f>
        <v>204369.32323819905</v>
      </c>
      <c r="T19" s="32"/>
      <c r="U19" s="32">
        <f t="shared" ref="U19:U20" si="0">+S19-L19</f>
        <v>7894.3884226310474</v>
      </c>
      <c r="V19" s="41">
        <f t="shared" ref="V19:V20" si="1">+IF(U19=0,0,(S19-L19)/L19)</f>
        <v>4.0180129999999994E-2</v>
      </c>
    </row>
    <row r="20" spans="1:22" x14ac:dyDescent="0.25">
      <c r="A20" s="59"/>
      <c r="B20" s="59"/>
      <c r="D20" s="57">
        <v>4</v>
      </c>
      <c r="E20" s="71" t="s">
        <v>335</v>
      </c>
      <c r="F20" s="8"/>
      <c r="G20" s="8"/>
      <c r="H20" s="33">
        <f>+SUM(H18:H19)</f>
        <v>1453.37</v>
      </c>
      <c r="I20" s="32" t="s">
        <v>341</v>
      </c>
      <c r="J20" s="39"/>
      <c r="K20" s="32"/>
      <c r="L20" s="100">
        <f>+SUM(L18:L19)</f>
        <v>196474.93481556801</v>
      </c>
      <c r="M20" s="32"/>
      <c r="N20" s="42"/>
      <c r="O20" s="33">
        <f>+SUM(O18:O19)</f>
        <v>1453.37</v>
      </c>
      <c r="P20" s="32" t="s">
        <v>341</v>
      </c>
      <c r="Q20" s="39"/>
      <c r="R20" s="32"/>
      <c r="S20" s="100">
        <f>+SUM(S18:S19)</f>
        <v>204369.32323819905</v>
      </c>
      <c r="T20" s="32"/>
      <c r="U20" s="32">
        <f t="shared" si="0"/>
        <v>7894.3884226310474</v>
      </c>
      <c r="V20" s="41">
        <f t="shared" si="1"/>
        <v>4.0180129999999994E-2</v>
      </c>
    </row>
    <row r="21" spans="1:22" x14ac:dyDescent="0.25">
      <c r="A21" s="59"/>
      <c r="B21" s="59"/>
      <c r="D21" s="57">
        <v>5</v>
      </c>
      <c r="E21" s="8"/>
      <c r="F21" s="8"/>
      <c r="G21" s="8"/>
      <c r="H21" s="8"/>
      <c r="I21" s="32"/>
      <c r="J21" s="39"/>
      <c r="K21" s="32"/>
      <c r="L21" s="39"/>
      <c r="M21" s="33"/>
      <c r="N21" s="42"/>
      <c r="O21" s="33"/>
      <c r="P21" s="32"/>
      <c r="Q21" s="39"/>
      <c r="R21" s="32"/>
      <c r="S21" s="39"/>
      <c r="T21" s="32"/>
      <c r="U21" s="32"/>
      <c r="V21" s="43"/>
    </row>
    <row r="22" spans="1:22" x14ac:dyDescent="0.25">
      <c r="A22" s="59"/>
      <c r="B22" s="59"/>
      <c r="D22" s="57">
        <v>6</v>
      </c>
      <c r="E22" s="31" t="s">
        <v>342</v>
      </c>
      <c r="F22" s="31"/>
      <c r="G22" s="8"/>
      <c r="H22" s="8"/>
      <c r="I22" s="32"/>
      <c r="J22" s="32"/>
      <c r="K22" s="32"/>
      <c r="L22" s="39"/>
      <c r="M22" s="32"/>
      <c r="N22" s="42"/>
      <c r="O22" s="32"/>
      <c r="P22" s="32"/>
      <c r="Q22" s="32"/>
      <c r="R22" s="32"/>
      <c r="S22" s="39"/>
      <c r="T22" s="32"/>
      <c r="U22" s="32"/>
      <c r="V22" s="32"/>
    </row>
    <row r="23" spans="1:22" x14ac:dyDescent="0.25">
      <c r="A23" s="59" t="s">
        <v>209</v>
      </c>
      <c r="B23" s="59" t="s">
        <v>696</v>
      </c>
      <c r="D23" s="57">
        <v>7</v>
      </c>
      <c r="E23" s="31" t="s">
        <v>396</v>
      </c>
      <c r="F23" s="8"/>
      <c r="G23" s="8"/>
      <c r="H23" s="33">
        <f>+INDEX('2025 Billing Determinants'!B:B,MATCH('2027 GSLDSU Rate Class E-13c'!A23,'2025 Billing Determinants'!A:A,0))</f>
        <v>0</v>
      </c>
      <c r="I23" s="32" t="s">
        <v>710</v>
      </c>
      <c r="J23" s="48">
        <f>+INDEX('2026 Base Rates'!E:E,MATCH('2027 GSLDSU Rate Class E-13c'!B23,'2026 Base Rates'!D:D,0))</f>
        <v>1.2314277017726343E-2</v>
      </c>
      <c r="K23" s="32"/>
      <c r="L23" s="32">
        <f>+H23*J23</f>
        <v>0</v>
      </c>
      <c r="M23" s="33"/>
      <c r="N23" s="42"/>
      <c r="O23" s="33">
        <f>+INDEX('2025 Billing Determinants'!B:B,MATCH('2027 GSLDSU Rate Class E-13c'!A23,'2025 Billing Determinants'!A:A,0))</f>
        <v>0</v>
      </c>
      <c r="P23" s="32" t="s">
        <v>710</v>
      </c>
      <c r="Q23" s="48">
        <f t="shared" ref="Q23:Q26" si="2">+J23*(1+$B$7)</f>
        <v>1.2809066269154601E-2</v>
      </c>
      <c r="R23" s="32"/>
      <c r="S23" s="32">
        <f>+O23*Q23</f>
        <v>0</v>
      </c>
      <c r="T23" s="32"/>
      <c r="U23" s="32">
        <f t="shared" ref="U23:U27" si="3">+S23-L23</f>
        <v>0</v>
      </c>
      <c r="V23" s="41">
        <f t="shared" ref="V23:V27" si="4">+IF(U23=0,0,(S23-L23)/L23)</f>
        <v>0</v>
      </c>
    </row>
    <row r="24" spans="1:22" x14ac:dyDescent="0.25">
      <c r="A24" s="59" t="s">
        <v>228</v>
      </c>
      <c r="B24" s="59" t="s">
        <v>703</v>
      </c>
      <c r="D24" s="57">
        <v>8</v>
      </c>
      <c r="E24" s="31" t="s">
        <v>929</v>
      </c>
      <c r="F24" s="8"/>
      <c r="G24" s="8"/>
      <c r="H24" s="33">
        <f>+INDEX('2025 Billing Determinants'!B:B,MATCH('2027 GSLDSU Rate Class E-13c'!A24,'2025 Billing Determinants'!A:A,0))</f>
        <v>48592993.530000001</v>
      </c>
      <c r="I24" s="32" t="s">
        <v>710</v>
      </c>
      <c r="J24" s="48">
        <f>+INDEX('2026 Base Rates'!E:E,MATCH('2027 GSLDSU Rate Class E-13c'!B24,'2026 Base Rates'!D:D,0))</f>
        <v>2.2189235912045559E-2</v>
      </c>
      <c r="K24" s="8"/>
      <c r="L24" s="32">
        <f>+H24*J24</f>
        <v>1078241.3971096736</v>
      </c>
      <c r="M24" s="8"/>
      <c r="N24" s="57"/>
      <c r="O24" s="33">
        <f>+INDEX('2025 Billing Determinants'!B:B,MATCH('2027 GSLDSU Rate Class E-13c'!A24,'2025 Billing Determinants'!A:A,0))</f>
        <v>48592993.530000001</v>
      </c>
      <c r="P24" s="32" t="s">
        <v>710</v>
      </c>
      <c r="Q24" s="48">
        <f t="shared" si="2"/>
        <v>2.3080802295592218E-2</v>
      </c>
      <c r="R24" s="8"/>
      <c r="S24" s="32">
        <f>+O24*Q24</f>
        <v>1121565.2766169219</v>
      </c>
      <c r="T24" s="32"/>
      <c r="U24" s="32">
        <f t="shared" si="3"/>
        <v>43323.87950724829</v>
      </c>
      <c r="V24" s="41">
        <f t="shared" si="4"/>
        <v>4.0180129999999981E-2</v>
      </c>
    </row>
    <row r="25" spans="1:22" x14ac:dyDescent="0.25">
      <c r="A25" s="59" t="s">
        <v>229</v>
      </c>
      <c r="B25" s="59" t="s">
        <v>704</v>
      </c>
      <c r="D25" s="57">
        <v>9</v>
      </c>
      <c r="E25" s="31" t="s">
        <v>930</v>
      </c>
      <c r="F25" s="35"/>
      <c r="G25" s="31"/>
      <c r="H25" s="33">
        <f>+INDEX('2025 Billing Determinants'!B:B,MATCH('2027 GSLDSU Rate Class E-13c'!A25,'2025 Billing Determinants'!A:A,0))</f>
        <v>90266980.709999993</v>
      </c>
      <c r="I25" s="32" t="s">
        <v>710</v>
      </c>
      <c r="J25" s="48">
        <f>+INDEX('2026 Base Rates'!E:E,MATCH('2027 GSLDSU Rate Class E-13c'!B25,'2026 Base Rates'!D:D,0))</f>
        <v>1.0833716421458261E-2</v>
      </c>
      <c r="K25" s="8"/>
      <c r="L25" s="32">
        <f>+H25*J25</f>
        <v>977926.87123338296</v>
      </c>
      <c r="M25" s="8"/>
      <c r="N25" s="57"/>
      <c r="O25" s="33">
        <f>+INDEX('2025 Billing Determinants'!B:B,MATCH('2027 GSLDSU Rate Class E-13c'!A25,'2025 Billing Determinants'!A:A,0))</f>
        <v>90266980.709999993</v>
      </c>
      <c r="P25" s="32" t="s">
        <v>710</v>
      </c>
      <c r="Q25" s="48">
        <f t="shared" si="2"/>
        <v>1.1269016555655589E-2</v>
      </c>
      <c r="R25" s="8"/>
      <c r="S25" s="32">
        <f>+O25*Q25</f>
        <v>1017220.1000500337</v>
      </c>
      <c r="T25" s="32"/>
      <c r="U25" s="32">
        <f t="shared" si="3"/>
        <v>39293.228816650691</v>
      </c>
      <c r="V25" s="41">
        <f t="shared" si="4"/>
        <v>4.0180130000000105E-2</v>
      </c>
    </row>
    <row r="26" spans="1:22" ht="16.5" x14ac:dyDescent="0.35">
      <c r="A26" s="59" t="s">
        <v>904</v>
      </c>
      <c r="B26" s="59" t="s">
        <v>1246</v>
      </c>
      <c r="D26" s="57"/>
      <c r="E26" s="31" t="s">
        <v>1273</v>
      </c>
      <c r="F26" s="35"/>
      <c r="G26" s="31"/>
      <c r="H26" s="104">
        <f>+INDEX('2025 Billing Determinants'!B:B,MATCH('2027 GSLDSU Rate Class E-13c'!A26,'2025 Billing Determinants'!A:A,0))</f>
        <v>67450978.700000003</v>
      </c>
      <c r="I26" s="32" t="s">
        <v>710</v>
      </c>
      <c r="J26" s="48">
        <f>+INDEX('2026 Base Rates'!E:E,MATCH('2027 GSLDSU Rate Class E-13c'!B26,'2026 Base Rates'!D:D,0))</f>
        <v>7.6134944763663398E-3</v>
      </c>
      <c r="K26" s="32"/>
      <c r="L26" s="105">
        <f>+H26*J26</f>
        <v>513537.65375795367</v>
      </c>
      <c r="M26" s="32"/>
      <c r="N26" s="42"/>
      <c r="O26" s="104">
        <f>+INDEX('2025 Billing Determinants'!B:B,MATCH('2027 GSLDSU Rate Class E-13c'!A26,'2025 Billing Determinants'!A:A,0))</f>
        <v>67450978.700000003</v>
      </c>
      <c r="P26" s="32" t="s">
        <v>710</v>
      </c>
      <c r="Q26" s="48">
        <f t="shared" si="2"/>
        <v>7.9194056741810209E-3</v>
      </c>
      <c r="R26" s="32"/>
      <c r="S26" s="105">
        <f>+O26*Q26</f>
        <v>534171.66344584315</v>
      </c>
      <c r="T26" s="8"/>
      <c r="U26" s="32">
        <f t="shared" ref="U26" si="5">+S26-L26</f>
        <v>20634.009687889484</v>
      </c>
      <c r="V26" s="143">
        <f>IFERROR(+IF(U26=0,0,(S26-L26)/L26),"New Rate")</f>
        <v>4.0180129999999835E-2</v>
      </c>
    </row>
    <row r="27" spans="1:22" x14ac:dyDescent="0.25">
      <c r="A27" s="59"/>
      <c r="B27" s="59"/>
      <c r="D27" s="57">
        <v>10</v>
      </c>
      <c r="E27" s="71" t="s">
        <v>335</v>
      </c>
      <c r="F27" s="35"/>
      <c r="G27" s="8"/>
      <c r="H27" s="32">
        <f>+SUM(H23:H26)</f>
        <v>206310952.94</v>
      </c>
      <c r="I27" s="32" t="s">
        <v>710</v>
      </c>
      <c r="J27" s="32"/>
      <c r="K27" s="32"/>
      <c r="L27" s="100">
        <f>+SUM(L23:L26)</f>
        <v>2569705.9221010101</v>
      </c>
      <c r="M27" s="32"/>
      <c r="N27" s="42"/>
      <c r="O27" s="32">
        <f>+SUM(O23:O26)</f>
        <v>206310952.94</v>
      </c>
      <c r="P27" s="32" t="s">
        <v>710</v>
      </c>
      <c r="Q27" s="32"/>
      <c r="R27" s="32"/>
      <c r="S27" s="100">
        <f>+SUM(S23:S26)</f>
        <v>2672957.040112799</v>
      </c>
      <c r="T27" s="8"/>
      <c r="U27" s="32">
        <f t="shared" si="3"/>
        <v>103251.11801178893</v>
      </c>
      <c r="V27" s="41">
        <f t="shared" si="4"/>
        <v>4.0180130000000182E-2</v>
      </c>
    </row>
    <row r="28" spans="1:22" x14ac:dyDescent="0.25">
      <c r="A28" s="59"/>
      <c r="B28" s="59"/>
      <c r="D28" s="57">
        <v>11</v>
      </c>
      <c r="E28" s="8"/>
      <c r="F28" s="8"/>
      <c r="G28" s="8"/>
      <c r="H28" s="8"/>
      <c r="I28" s="8"/>
      <c r="J28" s="8"/>
      <c r="K28" s="8"/>
      <c r="L28" s="47"/>
      <c r="M28" s="8"/>
      <c r="N28" s="57"/>
      <c r="O28" s="8"/>
      <c r="P28" s="8"/>
      <c r="Q28" s="8"/>
      <c r="R28" s="8"/>
      <c r="S28" s="47"/>
      <c r="T28" s="8"/>
      <c r="U28" s="8"/>
      <c r="V28" s="8"/>
    </row>
    <row r="29" spans="1:22" x14ac:dyDescent="0.25">
      <c r="A29" s="59"/>
      <c r="B29" s="59"/>
      <c r="D29" s="57">
        <v>12</v>
      </c>
      <c r="E29" s="8" t="s">
        <v>379</v>
      </c>
      <c r="F29" s="35"/>
      <c r="G29" s="8"/>
      <c r="H29" s="8"/>
      <c r="I29" s="32"/>
      <c r="J29" s="32"/>
      <c r="K29" s="32"/>
      <c r="L29" s="39"/>
      <c r="M29" s="32"/>
      <c r="N29" s="42"/>
      <c r="O29" s="32"/>
      <c r="P29" s="32"/>
      <c r="Q29" s="32"/>
      <c r="R29" s="32"/>
      <c r="S29" s="39"/>
      <c r="T29" s="32"/>
      <c r="U29" s="32"/>
      <c r="V29" s="53"/>
    </row>
    <row r="30" spans="1:22" x14ac:dyDescent="0.25">
      <c r="A30" s="59" t="s">
        <v>842</v>
      </c>
      <c r="B30" s="59" t="s">
        <v>697</v>
      </c>
      <c r="D30" s="57">
        <v>13</v>
      </c>
      <c r="E30" s="31" t="s">
        <v>396</v>
      </c>
      <c r="F30" s="35"/>
      <c r="G30" s="31"/>
      <c r="H30" s="33">
        <f>+INDEX('2025 Billing Determinants'!B:B,MATCH('2027 GSLDSU Rate Class E-13c'!A30,'2025 Billing Determinants'!A:A,0))</f>
        <v>0</v>
      </c>
      <c r="I30" s="32" t="s">
        <v>729</v>
      </c>
      <c r="J30" s="39">
        <f>+INDEX('2026 Base Rates'!E:E,MATCH('2027 GSLDSU Rate Class E-13c'!B30,'2026 Base Rates'!D:D,0))</f>
        <v>13.528692539970505</v>
      </c>
      <c r="K30" s="32"/>
      <c r="L30" s="32">
        <f>+H30*J30</f>
        <v>0</v>
      </c>
      <c r="M30" s="32"/>
      <c r="N30" s="42"/>
      <c r="O30" s="32">
        <f>+INDEX('2025 Billing Determinants'!B:B,MATCH('2027 GSLDSU Rate Class E-13c'!A30,'2025 Billing Determinants'!A:A,0))</f>
        <v>0</v>
      </c>
      <c r="P30" s="32" t="s">
        <v>729</v>
      </c>
      <c r="Q30" s="39">
        <f t="shared" ref="Q30:Q32" si="6">+J30*(1+$B$7)</f>
        <v>14.072277164956549</v>
      </c>
      <c r="R30" s="32"/>
      <c r="S30" s="32">
        <f>+O30*Q30</f>
        <v>0</v>
      </c>
      <c r="T30" s="8"/>
      <c r="U30" s="32">
        <f t="shared" ref="U30:U33" si="7">+S30-L30</f>
        <v>0</v>
      </c>
      <c r="V30" s="41">
        <f t="shared" ref="V30:V33" si="8">+IF(U30=0,0,(S30-L30)/L30)</f>
        <v>0</v>
      </c>
    </row>
    <row r="31" spans="1:22" x14ac:dyDescent="0.25">
      <c r="A31" s="59" t="s">
        <v>230</v>
      </c>
      <c r="B31" s="59" t="s">
        <v>705</v>
      </c>
      <c r="D31" s="57">
        <v>14</v>
      </c>
      <c r="E31" s="31" t="s">
        <v>931</v>
      </c>
      <c r="F31" s="8"/>
      <c r="G31" s="8"/>
      <c r="H31" s="33">
        <f>+INDEX('2025 Billing Determinants'!B:B,MATCH('2027 GSLDSU Rate Class E-13c'!A31,'2025 Billing Determinants'!A:A,0))</f>
        <v>592305.27</v>
      </c>
      <c r="I31" s="32" t="s">
        <v>729</v>
      </c>
      <c r="J31" s="39">
        <f>+INDEX('2026 Base Rates'!E:E,MATCH('2027 GSLDSU Rate Class E-13c'!B31,'2026 Base Rates'!D:D,0))</f>
        <v>1.6433626520945765</v>
      </c>
      <c r="K31" s="32"/>
      <c r="L31" s="32">
        <f>+H31*J31</f>
        <v>973372.35935679427</v>
      </c>
      <c r="M31" s="32"/>
      <c r="N31" s="42"/>
      <c r="O31" s="32">
        <f>+INDEX('2025 Billing Determinants'!B:B,MATCH('2027 GSLDSU Rate Class E-13c'!A31,'2025 Billing Determinants'!A:A,0))</f>
        <v>592305.27</v>
      </c>
      <c r="P31" s="32" t="s">
        <v>729</v>
      </c>
      <c r="Q31" s="39">
        <f t="shared" si="6"/>
        <v>1.7093931770928814</v>
      </c>
      <c r="R31" s="32"/>
      <c r="S31" s="32">
        <f>+O31*Q31</f>
        <v>1012482.587294157</v>
      </c>
      <c r="T31" s="8"/>
      <c r="U31" s="32">
        <f t="shared" si="7"/>
        <v>39110.227937362739</v>
      </c>
      <c r="V31" s="41">
        <f t="shared" si="8"/>
        <v>4.0180130000000029E-2</v>
      </c>
    </row>
    <row r="32" spans="1:22" ht="16.5" x14ac:dyDescent="0.35">
      <c r="A32" s="59" t="s">
        <v>231</v>
      </c>
      <c r="B32" s="59" t="s">
        <v>706</v>
      </c>
      <c r="D32" s="57">
        <v>15</v>
      </c>
      <c r="E32" s="31" t="s">
        <v>932</v>
      </c>
      <c r="F32" s="35"/>
      <c r="G32" s="31"/>
      <c r="H32" s="104">
        <f>+INDEX('2025 Billing Determinants'!B:B,MATCH('2027 GSLDSU Rate Class E-13c'!A32,'2025 Billing Determinants'!A:A,0))</f>
        <v>544685.55000000005</v>
      </c>
      <c r="I32" s="32" t="s">
        <v>731</v>
      </c>
      <c r="J32" s="39">
        <f>+INDEX('2026 Base Rates'!E:E,MATCH('2027 GSLDSU Rate Class E-13c'!B32,'2026 Base Rates'!D:D,0))</f>
        <v>11.885329887875928</v>
      </c>
      <c r="K32" s="32"/>
      <c r="L32" s="105">
        <f>+H32*J32</f>
        <v>6473767.4469091389</v>
      </c>
      <c r="M32" s="32"/>
      <c r="N32" s="42"/>
      <c r="O32" s="105">
        <f>+INDEX('2025 Billing Determinants'!B:B,MATCH('2027 GSLDSU Rate Class E-13c'!A32,'2025 Billing Determinants'!A:A,0))</f>
        <v>544685.55000000005</v>
      </c>
      <c r="P32" s="32" t="s">
        <v>731</v>
      </c>
      <c r="Q32" s="39">
        <f t="shared" si="6"/>
        <v>12.362883987863668</v>
      </c>
      <c r="R32" s="32"/>
      <c r="S32" s="105">
        <f>+O32*Q32</f>
        <v>6733884.2645157157</v>
      </c>
      <c r="T32" s="8"/>
      <c r="U32" s="32">
        <f t="shared" si="7"/>
        <v>260116.81760657672</v>
      </c>
      <c r="V32" s="41">
        <f t="shared" si="8"/>
        <v>4.0180129999999911E-2</v>
      </c>
    </row>
    <row r="33" spans="1:22" x14ac:dyDescent="0.25">
      <c r="A33" s="59"/>
      <c r="B33" s="59"/>
      <c r="D33" s="57">
        <v>16</v>
      </c>
      <c r="E33" s="20" t="s">
        <v>330</v>
      </c>
      <c r="F33" s="35"/>
      <c r="G33" s="8"/>
      <c r="H33" s="32">
        <f>+SUM(H30:H31)</f>
        <v>592305.27</v>
      </c>
      <c r="I33" s="32" t="s">
        <v>729</v>
      </c>
      <c r="J33" s="39"/>
      <c r="K33" s="32"/>
      <c r="L33" s="100">
        <f>+SUM(L30:L32)</f>
        <v>7447139.8062659334</v>
      </c>
      <c r="M33" s="32"/>
      <c r="N33" s="42"/>
      <c r="O33" s="32">
        <f>+SUM(O30:O31)</f>
        <v>592305.27</v>
      </c>
      <c r="P33" s="32" t="s">
        <v>729</v>
      </c>
      <c r="Q33" s="39"/>
      <c r="R33" s="32"/>
      <c r="S33" s="100">
        <f>+SUM(S30:S32)</f>
        <v>7746366.8518098723</v>
      </c>
      <c r="T33" s="32"/>
      <c r="U33" s="32">
        <f t="shared" si="7"/>
        <v>299227.04554393888</v>
      </c>
      <c r="V33" s="41">
        <f t="shared" si="8"/>
        <v>4.0180129999999849E-2</v>
      </c>
    </row>
    <row r="34" spans="1:22" x14ac:dyDescent="0.25">
      <c r="A34" s="59"/>
      <c r="B34" s="59"/>
      <c r="D34" s="57">
        <v>17</v>
      </c>
      <c r="E34" s="20"/>
      <c r="F34" s="35"/>
      <c r="G34" s="8"/>
      <c r="H34" s="32"/>
      <c r="I34" s="32"/>
      <c r="J34" s="39"/>
      <c r="K34" s="32"/>
      <c r="L34" s="32"/>
      <c r="M34" s="32"/>
      <c r="N34" s="42"/>
      <c r="O34" s="32"/>
      <c r="P34" s="32"/>
      <c r="Q34" s="39"/>
      <c r="R34" s="32"/>
      <c r="S34" s="32"/>
      <c r="T34" s="32"/>
      <c r="U34" s="32"/>
      <c r="V34" s="43"/>
    </row>
    <row r="35" spans="1:22" x14ac:dyDescent="0.25">
      <c r="A35" s="59"/>
      <c r="B35" s="59"/>
      <c r="D35" s="57">
        <v>18</v>
      </c>
      <c r="E35" s="31" t="s">
        <v>345</v>
      </c>
      <c r="F35" s="31"/>
      <c r="G35" s="8"/>
      <c r="H35" s="49"/>
      <c r="I35" s="32"/>
      <c r="J35" s="32"/>
      <c r="K35" s="32"/>
      <c r="L35" s="39"/>
      <c r="M35" s="32"/>
      <c r="N35" s="42"/>
      <c r="O35" s="8"/>
      <c r="P35" s="32"/>
      <c r="Q35" s="32"/>
      <c r="R35" s="32"/>
      <c r="S35" s="39"/>
      <c r="T35" s="32"/>
      <c r="U35" s="32"/>
      <c r="V35" s="43"/>
    </row>
    <row r="36" spans="1:22" x14ac:dyDescent="0.25">
      <c r="A36" s="59" t="s">
        <v>211</v>
      </c>
      <c r="B36" s="59" t="s">
        <v>700</v>
      </c>
      <c r="D36" s="57">
        <v>19</v>
      </c>
      <c r="E36" s="31" t="s">
        <v>933</v>
      </c>
      <c r="F36" s="8"/>
      <c r="G36" s="8"/>
      <c r="H36" s="32">
        <f>+INDEX('2025 Billing Determinants'!B:B,MATCH('2027 GSLDSU Rate Class E-13c'!A36,'2025 Billing Determinants'!A:A,0))</f>
        <v>0</v>
      </c>
      <c r="I36" s="32" t="s">
        <v>729</v>
      </c>
      <c r="J36" s="39">
        <f>+INDEX('2026 Base Rates'!E:E,MATCH('2027 GSLDSU Rate Class E-13c'!B36,'2026 Base Rates'!D:D,0))</f>
        <v>1.0804692052611049</v>
      </c>
      <c r="K36" s="8"/>
      <c r="L36" s="32">
        <f>+H36*J36</f>
        <v>0</v>
      </c>
      <c r="M36" s="8"/>
      <c r="N36" s="57"/>
      <c r="O36" s="32">
        <f>+INDEX('2025 Billing Determinants'!B:B,MATCH('2027 GSLDSU Rate Class E-13c'!A36,'2025 Billing Determinants'!A:A,0))</f>
        <v>0</v>
      </c>
      <c r="P36" s="32" t="s">
        <v>729</v>
      </c>
      <c r="Q36" s="39">
        <f t="shared" ref="Q36:Q37" si="9">+J36*(1+$B$7)</f>
        <v>1.1238825983894927</v>
      </c>
      <c r="R36" s="8"/>
      <c r="S36" s="32">
        <f>+O36*Q36</f>
        <v>0</v>
      </c>
      <c r="T36" s="8"/>
      <c r="U36" s="32">
        <f t="shared" ref="U36:U38" si="10">+S36-L36</f>
        <v>0</v>
      </c>
      <c r="V36" s="41">
        <f t="shared" ref="V36:V38" si="11">+IF(U36=0,0,(S36-L36)/L36)</f>
        <v>0</v>
      </c>
    </row>
    <row r="37" spans="1:22" ht="16.5" x14ac:dyDescent="0.35">
      <c r="A37" s="59" t="s">
        <v>232</v>
      </c>
      <c r="B37" s="59" t="s">
        <v>709</v>
      </c>
      <c r="D37" s="57">
        <v>20</v>
      </c>
      <c r="E37" s="31" t="s">
        <v>934</v>
      </c>
      <c r="F37" s="8"/>
      <c r="G37" s="8"/>
      <c r="H37" s="105">
        <f>+INDEX('2025 Billing Determinants'!B:B,MATCH('2027 GSLDSU Rate Class E-13c'!A37,'2025 Billing Determinants'!A:A,0))</f>
        <v>0</v>
      </c>
      <c r="I37" s="32" t="s">
        <v>729</v>
      </c>
      <c r="J37" s="39">
        <f>+INDEX('2026 Base Rates'!E:E,MATCH('2027 GSLDSU Rate Class E-13c'!B37,'2026 Base Rates'!D:D,0))</f>
        <v>1.0804692052611049</v>
      </c>
      <c r="K37" s="8"/>
      <c r="L37" s="105">
        <f>+H37*J37</f>
        <v>0</v>
      </c>
      <c r="M37" s="8"/>
      <c r="N37" s="57"/>
      <c r="O37" s="105">
        <f>+INDEX('2025 Billing Determinants'!B:B,MATCH('2027 GSLDSU Rate Class E-13c'!A37,'2025 Billing Determinants'!A:A,0))</f>
        <v>0</v>
      </c>
      <c r="P37" s="32" t="s">
        <v>729</v>
      </c>
      <c r="Q37" s="39">
        <f t="shared" si="9"/>
        <v>1.1238825983894927</v>
      </c>
      <c r="R37" s="8"/>
      <c r="S37" s="105">
        <f>+O37*Q37</f>
        <v>0</v>
      </c>
      <c r="T37" s="8"/>
      <c r="U37" s="32">
        <f t="shared" si="10"/>
        <v>0</v>
      </c>
      <c r="V37" s="41">
        <f t="shared" si="11"/>
        <v>0</v>
      </c>
    </row>
    <row r="38" spans="1:22" x14ac:dyDescent="0.25">
      <c r="A38" s="59"/>
      <c r="B38" s="59"/>
      <c r="D38" s="57">
        <v>21</v>
      </c>
      <c r="E38" s="20" t="s">
        <v>330</v>
      </c>
      <c r="F38" s="35"/>
      <c r="G38" s="8"/>
      <c r="H38" s="33">
        <f>+SUM(H36:H37)</f>
        <v>0</v>
      </c>
      <c r="I38" s="32" t="s">
        <v>729</v>
      </c>
      <c r="J38" s="39"/>
      <c r="K38" s="32"/>
      <c r="L38" s="100">
        <f>+SUM(L36:L37)</f>
        <v>0</v>
      </c>
      <c r="M38" s="32"/>
      <c r="N38" s="42"/>
      <c r="O38" s="33">
        <f>+SUM(O36:O37)</f>
        <v>0</v>
      </c>
      <c r="P38" s="32" t="s">
        <v>729</v>
      </c>
      <c r="Q38" s="39"/>
      <c r="R38" s="32"/>
      <c r="S38" s="100">
        <f>+SUM(S36:S37)</f>
        <v>0</v>
      </c>
      <c r="T38" s="32"/>
      <c r="U38" s="32">
        <f t="shared" si="10"/>
        <v>0</v>
      </c>
      <c r="V38" s="41">
        <f t="shared" si="11"/>
        <v>0</v>
      </c>
    </row>
    <row r="39" spans="1:22" x14ac:dyDescent="0.25">
      <c r="A39" s="59"/>
      <c r="B39" s="59"/>
      <c r="D39" s="57">
        <v>22</v>
      </c>
      <c r="E39" s="20"/>
      <c r="F39" s="35"/>
      <c r="G39" s="8"/>
      <c r="H39" s="32"/>
      <c r="I39" s="32"/>
      <c r="J39" s="39"/>
      <c r="K39" s="32"/>
      <c r="L39" s="39"/>
      <c r="M39" s="32"/>
      <c r="N39" s="42"/>
      <c r="O39" s="32"/>
      <c r="P39" s="32"/>
      <c r="Q39" s="39"/>
      <c r="R39" s="32"/>
      <c r="S39" s="39"/>
      <c r="T39" s="32"/>
      <c r="U39" s="32"/>
      <c r="V39" s="43"/>
    </row>
    <row r="40" spans="1:22" x14ac:dyDescent="0.25">
      <c r="A40" s="59"/>
      <c r="B40" s="59"/>
      <c r="D40" s="57">
        <v>23</v>
      </c>
      <c r="E40" s="8" t="s">
        <v>444</v>
      </c>
      <c r="F40" s="8"/>
      <c r="G40" s="8"/>
      <c r="H40" s="8"/>
      <c r="I40" s="8"/>
      <c r="J40" s="8"/>
      <c r="K40" s="8"/>
      <c r="L40" s="47"/>
      <c r="M40" s="8"/>
      <c r="N40" s="57"/>
      <c r="O40" s="8"/>
      <c r="P40" s="8"/>
      <c r="Q40" s="8"/>
      <c r="R40" s="8"/>
      <c r="S40" s="47"/>
      <c r="T40" s="32"/>
      <c r="U40" s="32"/>
      <c r="V40" s="32"/>
    </row>
    <row r="41" spans="1:22" x14ac:dyDescent="0.25">
      <c r="A41" s="59" t="s">
        <v>213</v>
      </c>
      <c r="B41" s="59" t="s">
        <v>698</v>
      </c>
      <c r="D41" s="57">
        <v>24</v>
      </c>
      <c r="E41" s="31" t="s">
        <v>933</v>
      </c>
      <c r="F41" s="8"/>
      <c r="G41" s="8"/>
      <c r="H41" s="32">
        <f>+INDEX('2025 Billing Determinants'!B:B,MATCH('2027 GSLDSU Rate Class E-13c'!A41,'2025 Billing Determinants'!A:A,0))</f>
        <v>0</v>
      </c>
      <c r="I41" s="8" t="s">
        <v>839</v>
      </c>
      <c r="J41" s="48">
        <f>+INDEX('2026 Base Rates'!E:E,MATCH('2027 GSLDSU Rate Class E-13c'!B41,'2026 Base Rates'!D:D,0))</f>
        <v>2.1503455751765129E-3</v>
      </c>
      <c r="K41" s="8"/>
      <c r="L41" s="32">
        <f>+H41*J41</f>
        <v>0</v>
      </c>
      <c r="M41" s="8"/>
      <c r="N41" s="57"/>
      <c r="O41" s="213">
        <f>+INDEX('2025 Billing Determinants'!B:B,MATCH('2027 GSLDSU Rate Class E-13c'!A41,'2025 Billing Determinants'!A:A,0))</f>
        <v>0</v>
      </c>
      <c r="P41" s="8" t="s">
        <v>839</v>
      </c>
      <c r="Q41" s="48">
        <f t="shared" ref="Q41:Q42" si="12">+J41*(1+$B$7)</f>
        <v>2.2367467399320301E-3</v>
      </c>
      <c r="R41" s="8"/>
      <c r="S41" s="32">
        <f>+O41*Q41</f>
        <v>0</v>
      </c>
      <c r="T41" s="8"/>
      <c r="U41" s="32">
        <f t="shared" ref="U41:U43" si="13">+S41-L41</f>
        <v>0</v>
      </c>
      <c r="V41" s="41">
        <f t="shared" ref="V41:V43" si="14">+IF(U41=0,0,(S41-L41)/L41)</f>
        <v>0</v>
      </c>
    </row>
    <row r="42" spans="1:22" ht="16.5" x14ac:dyDescent="0.35">
      <c r="A42" s="59" t="s">
        <v>234</v>
      </c>
      <c r="B42" s="59" t="s">
        <v>707</v>
      </c>
      <c r="D42" s="57">
        <v>25</v>
      </c>
      <c r="E42" s="31" t="s">
        <v>934</v>
      </c>
      <c r="F42" s="8"/>
      <c r="G42" s="8"/>
      <c r="H42" s="105">
        <f>+INDEX('2025 Billing Determinants'!B:B,MATCH('2027 GSLDSU Rate Class E-13c'!A42,'2025 Billing Determinants'!A:A,0))</f>
        <v>21354005.66</v>
      </c>
      <c r="I42" s="8" t="s">
        <v>839</v>
      </c>
      <c r="J42" s="48">
        <f>+INDEX('2026 Base Rates'!E:E,MATCH('2027 GSLDSU Rate Class E-13c'!B42,'2026 Base Rates'!D:D,0))</f>
        <v>2.1503455751765129E-3</v>
      </c>
      <c r="K42" s="8"/>
      <c r="L42" s="105">
        <f>+H42*J42</f>
        <v>45918.491583275209</v>
      </c>
      <c r="M42" s="8"/>
      <c r="N42" s="57"/>
      <c r="O42" s="214">
        <f>+INDEX('2025 Billing Determinants'!B:B,MATCH('2027 GSLDSU Rate Class E-13c'!A42,'2025 Billing Determinants'!A:A,0))</f>
        <v>21354005.66</v>
      </c>
      <c r="P42" s="8" t="s">
        <v>839</v>
      </c>
      <c r="Q42" s="48">
        <f t="shared" si="12"/>
        <v>2.2367467399320301E-3</v>
      </c>
      <c r="R42" s="8"/>
      <c r="S42" s="105">
        <f>+O42*Q42</f>
        <v>47763.502544495117</v>
      </c>
      <c r="T42" s="32"/>
      <c r="U42" s="32">
        <f t="shared" si="13"/>
        <v>1845.0109612199085</v>
      </c>
      <c r="V42" s="41">
        <f t="shared" si="14"/>
        <v>4.0180130000000105E-2</v>
      </c>
    </row>
    <row r="43" spans="1:22" x14ac:dyDescent="0.25">
      <c r="A43" s="59"/>
      <c r="B43" s="59"/>
      <c r="D43" s="57">
        <v>26</v>
      </c>
      <c r="E43" s="8"/>
      <c r="F43" s="8"/>
      <c r="G43" s="8"/>
      <c r="H43" s="33">
        <f>+SUM(H41:H42)</f>
        <v>21354005.66</v>
      </c>
      <c r="I43" s="8" t="s">
        <v>839</v>
      </c>
      <c r="J43" s="8"/>
      <c r="K43" s="8"/>
      <c r="L43" s="100">
        <f>+SUM(L41:L42)</f>
        <v>45918.491583275209</v>
      </c>
      <c r="M43" s="8"/>
      <c r="N43" s="57"/>
      <c r="O43" s="33">
        <f>+SUM(O41:O42)</f>
        <v>21354005.66</v>
      </c>
      <c r="P43" s="8" t="s">
        <v>839</v>
      </c>
      <c r="Q43" s="8"/>
      <c r="R43" s="8"/>
      <c r="S43" s="100">
        <f>+SUM(S41:S42)</f>
        <v>47763.502544495117</v>
      </c>
      <c r="T43" s="32"/>
      <c r="U43" s="32">
        <f t="shared" si="13"/>
        <v>1845.0109612199085</v>
      </c>
      <c r="V43" s="41">
        <f t="shared" si="14"/>
        <v>4.0180130000000105E-2</v>
      </c>
    </row>
    <row r="44" spans="1:22" x14ac:dyDescent="0.25">
      <c r="A44" s="59"/>
      <c r="B44" s="59"/>
      <c r="D44" s="57">
        <v>27</v>
      </c>
      <c r="E44" s="8" t="s">
        <v>445</v>
      </c>
      <c r="F44" s="8"/>
      <c r="G44" s="8"/>
      <c r="H44" s="8"/>
      <c r="I44" s="8"/>
      <c r="J44" s="8"/>
      <c r="K44" s="8"/>
      <c r="L44" s="8"/>
      <c r="M44" s="8"/>
      <c r="N44" s="57"/>
      <c r="O44" s="8"/>
      <c r="P44" s="8"/>
      <c r="Q44" s="8"/>
      <c r="R44" s="8"/>
      <c r="S44" s="8"/>
      <c r="T44" s="8"/>
      <c r="U44" s="8"/>
      <c r="V44" s="8"/>
    </row>
    <row r="45" spans="1:22" x14ac:dyDescent="0.25">
      <c r="A45" s="59" t="s">
        <v>214</v>
      </c>
      <c r="B45" s="59" t="s">
        <v>699</v>
      </c>
      <c r="D45" s="57">
        <v>28</v>
      </c>
      <c r="E45" s="31" t="s">
        <v>933</v>
      </c>
      <c r="F45" s="8"/>
      <c r="G45" s="8"/>
      <c r="H45" s="32">
        <f>+INDEX('2025 Billing Determinants'!B:B,MATCH('2027 GSLDSU Rate Class E-13c'!A45,'2025 Billing Determinants'!A:A,0))</f>
        <v>0</v>
      </c>
      <c r="I45" s="8" t="s">
        <v>839</v>
      </c>
      <c r="J45" s="48">
        <f>+INDEX('2026 Base Rates'!E:E,MATCH('2027 GSLDSU Rate Class E-13c'!B45,'2026 Base Rates'!D:D,0))</f>
        <v>-1.0804692052611049E-3</v>
      </c>
      <c r="K45" s="8"/>
      <c r="L45" s="32">
        <f>+H45*J45</f>
        <v>0</v>
      </c>
      <c r="M45" s="8"/>
      <c r="N45" s="57"/>
      <c r="O45" s="213">
        <f>+INDEX('2025 Billing Determinants'!B:B,MATCH('2027 GSLDSU Rate Class E-13c'!A45,'2025 Billing Determinants'!A:A,0))</f>
        <v>0</v>
      </c>
      <c r="P45" s="8" t="s">
        <v>839</v>
      </c>
      <c r="Q45" s="48">
        <f t="shared" ref="Q45:Q46" si="15">+J45*(1+$B$7)</f>
        <v>-1.1238825983894928E-3</v>
      </c>
      <c r="R45" s="8"/>
      <c r="S45" s="32">
        <f>+O45*Q45</f>
        <v>0</v>
      </c>
      <c r="T45" s="8"/>
      <c r="U45" s="32">
        <f t="shared" ref="U45:U47" si="16">+S45-L45</f>
        <v>0</v>
      </c>
      <c r="V45" s="41">
        <f t="shared" ref="V45:V47" si="17">+IF(U45=0,0,(S45-L45)/L45)</f>
        <v>0</v>
      </c>
    </row>
    <row r="46" spans="1:22" ht="16.5" x14ac:dyDescent="0.35">
      <c r="A46" s="59" t="s">
        <v>235</v>
      </c>
      <c r="B46" s="59" t="s">
        <v>708</v>
      </c>
      <c r="D46" s="57">
        <v>29</v>
      </c>
      <c r="E46" s="8" t="s">
        <v>934</v>
      </c>
      <c r="F46" s="8"/>
      <c r="G46" s="8"/>
      <c r="H46" s="105">
        <f>+INDEX('2025 Billing Determinants'!B:B,MATCH('2027 GSLDSU Rate Class E-13c'!A46,'2025 Billing Determinants'!A:A,0))</f>
        <v>2680704.4</v>
      </c>
      <c r="I46" s="8" t="s">
        <v>839</v>
      </c>
      <c r="J46" s="48">
        <f>+INDEX('2026 Base Rates'!E:E,MATCH('2027 GSLDSU Rate Class E-13c'!B46,'2026 Base Rates'!D:D,0))</f>
        <v>-1.0804692052611049E-3</v>
      </c>
      <c r="K46" s="8"/>
      <c r="L46" s="214">
        <f>+H46*J46</f>
        <v>-2896.4185526079468</v>
      </c>
      <c r="M46" s="8"/>
      <c r="N46" s="57"/>
      <c r="O46" s="214">
        <f>+INDEX('2025 Billing Determinants'!B:B,MATCH('2027 GSLDSU Rate Class E-13c'!A46,'2025 Billing Determinants'!A:A,0))</f>
        <v>2680704.4</v>
      </c>
      <c r="P46" s="8" t="s">
        <v>839</v>
      </c>
      <c r="Q46" s="48">
        <f t="shared" si="15"/>
        <v>-1.1238825983894928E-3</v>
      </c>
      <c r="R46" s="8"/>
      <c r="S46" s="214">
        <f>+O46*Q46</f>
        <v>-3012.7970265861463</v>
      </c>
      <c r="T46" s="8"/>
      <c r="U46" s="32">
        <f t="shared" si="16"/>
        <v>-116.37847397819951</v>
      </c>
      <c r="V46" s="41">
        <f t="shared" si="17"/>
        <v>4.0180130000000126E-2</v>
      </c>
    </row>
    <row r="47" spans="1:22" x14ac:dyDescent="0.25">
      <c r="A47" s="59"/>
      <c r="B47" s="59"/>
      <c r="D47" s="57">
        <v>30</v>
      </c>
      <c r="E47" s="8" t="s">
        <v>330</v>
      </c>
      <c r="F47" s="8"/>
      <c r="G47" s="8"/>
      <c r="H47" s="33">
        <f>+SUM(H45:H46)</f>
        <v>2680704.4</v>
      </c>
      <c r="I47" s="8"/>
      <c r="J47" s="8"/>
      <c r="K47" s="8"/>
      <c r="L47" s="49">
        <f>+SUM(L45:L46)</f>
        <v>-2896.4185526079468</v>
      </c>
      <c r="M47" s="8"/>
      <c r="N47" s="57"/>
      <c r="O47" s="33">
        <f>+SUM(O45:O46)</f>
        <v>2680704.4</v>
      </c>
      <c r="P47" s="8"/>
      <c r="Q47" s="8"/>
      <c r="R47" s="8"/>
      <c r="S47" s="49">
        <f>+SUM(S45:S46)</f>
        <v>-3012.7970265861463</v>
      </c>
      <c r="T47" s="8"/>
      <c r="U47" s="32">
        <f t="shared" si="16"/>
        <v>-116.37847397819951</v>
      </c>
      <c r="V47" s="41">
        <f t="shared" si="17"/>
        <v>4.0180130000000126E-2</v>
      </c>
    </row>
    <row r="48" spans="1:22" x14ac:dyDescent="0.25">
      <c r="A48" s="59"/>
      <c r="B48" s="59"/>
      <c r="D48" s="57">
        <v>31</v>
      </c>
      <c r="E48" s="20"/>
      <c r="F48" s="35"/>
      <c r="G48" s="8"/>
      <c r="H48" s="32"/>
      <c r="I48" s="32"/>
      <c r="J48" s="39"/>
      <c r="K48" s="32"/>
      <c r="L48" s="32"/>
      <c r="M48" s="32"/>
      <c r="N48" s="42"/>
      <c r="O48" s="32"/>
      <c r="P48" s="32"/>
      <c r="Q48" s="39"/>
      <c r="R48" s="32"/>
      <c r="S48" s="32"/>
      <c r="T48" s="32"/>
      <c r="U48" s="32"/>
      <c r="V48" s="43"/>
    </row>
    <row r="49" spans="1:22" x14ac:dyDescent="0.25">
      <c r="A49" s="59"/>
      <c r="B49" s="59"/>
      <c r="D49" s="57">
        <v>32</v>
      </c>
      <c r="E49" s="8"/>
      <c r="F49" s="8"/>
      <c r="G49" s="8"/>
      <c r="H49" s="8"/>
      <c r="I49" s="8"/>
      <c r="J49" s="8"/>
      <c r="K49" s="8"/>
      <c r="L49" s="8"/>
      <c r="M49" s="8"/>
      <c r="N49" s="57"/>
      <c r="O49" s="8"/>
      <c r="P49" s="8"/>
      <c r="Q49" s="8"/>
      <c r="R49" s="8"/>
      <c r="S49" s="8"/>
      <c r="T49" s="8"/>
      <c r="U49" s="8"/>
      <c r="V49" s="8"/>
    </row>
    <row r="50" spans="1:22" ht="15.75" thickBot="1" x14ac:dyDescent="0.3">
      <c r="A50" s="59"/>
      <c r="B50" s="59"/>
      <c r="D50" s="57">
        <v>33</v>
      </c>
      <c r="E50" s="31" t="s">
        <v>336</v>
      </c>
      <c r="F50" s="31"/>
      <c r="G50" s="8"/>
      <c r="H50" s="8"/>
      <c r="I50" s="32"/>
      <c r="J50" s="32"/>
      <c r="K50" s="32"/>
      <c r="L50" s="103">
        <f>+L20+L27+L33+L38+L43+L47</f>
        <v>10256342.736213179</v>
      </c>
      <c r="M50" s="32"/>
      <c r="N50" s="42"/>
      <c r="O50" s="32"/>
      <c r="P50" s="32"/>
      <c r="Q50" s="32"/>
      <c r="R50" s="32"/>
      <c r="S50" s="103">
        <f>+S20+S27+S33+S38+S43+S47</f>
        <v>10668443.920678779</v>
      </c>
      <c r="T50" s="8"/>
      <c r="U50" s="32">
        <f>+S50-L50</f>
        <v>412101.18446560018</v>
      </c>
      <c r="V50" s="41">
        <f>+IF(U50=0,0,(S50-L50)/L50)</f>
        <v>4.0180129999999897E-2</v>
      </c>
    </row>
    <row r="51" spans="1:22" ht="15.75" thickTop="1" x14ac:dyDescent="0.25">
      <c r="A51" s="59"/>
      <c r="B51" s="59"/>
      <c r="D51" s="57">
        <v>34</v>
      </c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x14ac:dyDescent="0.25">
      <c r="D52" s="57">
        <v>35</v>
      </c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x14ac:dyDescent="0.25">
      <c r="D53" s="57">
        <v>36</v>
      </c>
    </row>
    <row r="54" spans="1:22" x14ac:dyDescent="0.25">
      <c r="D54" s="57">
        <v>37</v>
      </c>
    </row>
    <row r="55" spans="1:22" ht="15.75" thickBot="1" x14ac:dyDescent="0.3">
      <c r="D55" s="58">
        <v>39</v>
      </c>
      <c r="E55" s="9" t="s">
        <v>742</v>
      </c>
      <c r="F55" s="9"/>
      <c r="G55" s="9"/>
      <c r="H55" s="9"/>
      <c r="I55" s="9"/>
      <c r="J55" s="9"/>
      <c r="K55" s="9"/>
      <c r="L55" s="9"/>
      <c r="M55" s="9"/>
      <c r="N55" s="58"/>
      <c r="O55" s="9"/>
      <c r="P55" s="9"/>
      <c r="Q55" s="9"/>
      <c r="R55" s="9"/>
      <c r="S55" s="9"/>
      <c r="T55" s="9"/>
      <c r="U55" s="9"/>
      <c r="V55" s="13"/>
    </row>
    <row r="56" spans="1:22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57"/>
      <c r="O56" s="8"/>
      <c r="P56" s="8"/>
      <c r="Q56" s="8"/>
      <c r="R56" s="8"/>
      <c r="S56" s="8"/>
      <c r="T56" s="8"/>
      <c r="U56" s="8"/>
      <c r="V56" s="8" t="s">
        <v>304</v>
      </c>
    </row>
    <row r="57" spans="1:22" x14ac:dyDescent="0.25">
      <c r="D57" s="8"/>
      <c r="E57" s="8"/>
      <c r="F57" s="8"/>
      <c r="G57" s="8"/>
      <c r="H57" s="8"/>
      <c r="I57" s="8"/>
      <c r="J57" s="8"/>
      <c r="K57" s="378"/>
      <c r="L57" s="378"/>
      <c r="M57" s="378"/>
      <c r="N57" s="378"/>
      <c r="O57" s="378"/>
      <c r="P57" s="8"/>
      <c r="Q57" s="8"/>
      <c r="R57" s="8"/>
      <c r="S57" s="8"/>
      <c r="T57" s="8"/>
      <c r="U57" s="8"/>
      <c r="V57" s="8"/>
    </row>
    <row r="58" spans="1:22" ht="15.75" thickBot="1" x14ac:dyDescent="0.3">
      <c r="D58" s="9" t="s">
        <v>305</v>
      </c>
      <c r="E58" s="9"/>
      <c r="F58" s="9"/>
      <c r="G58" s="9"/>
      <c r="H58" s="9"/>
      <c r="I58" s="9"/>
      <c r="J58" s="9"/>
      <c r="K58" s="379" t="s">
        <v>306</v>
      </c>
      <c r="L58" s="379"/>
      <c r="M58" s="379"/>
      <c r="N58" s="379"/>
      <c r="O58" s="379"/>
      <c r="P58" s="9"/>
      <c r="Q58" s="9"/>
      <c r="R58" s="9"/>
      <c r="S58" s="9"/>
      <c r="T58" s="9"/>
      <c r="U58" s="9"/>
      <c r="V58" s="13" t="s">
        <v>887</v>
      </c>
    </row>
    <row r="59" spans="1:22" x14ac:dyDescent="0.25">
      <c r="D59" s="8" t="s">
        <v>307</v>
      </c>
      <c r="E59" s="8"/>
      <c r="F59" s="8"/>
      <c r="G59" s="8"/>
      <c r="H59" s="8" t="s">
        <v>308</v>
      </c>
      <c r="I59" s="8"/>
      <c r="J59" s="8" t="s">
        <v>910</v>
      </c>
      <c r="K59" s="8"/>
      <c r="L59" s="8"/>
      <c r="M59" s="8"/>
      <c r="N59" s="98"/>
      <c r="O59" s="99"/>
      <c r="P59" s="8"/>
      <c r="Q59" s="8"/>
      <c r="R59" s="99"/>
      <c r="S59" s="99" t="s">
        <v>309</v>
      </c>
      <c r="T59" s="8"/>
      <c r="U59" s="8"/>
      <c r="V59" s="10"/>
    </row>
    <row r="60" spans="1:22" x14ac:dyDescent="0.25">
      <c r="D60" s="8"/>
      <c r="E60" s="8"/>
      <c r="F60" s="8"/>
      <c r="G60" s="8"/>
      <c r="H60" s="8"/>
      <c r="I60" s="8"/>
      <c r="J60" s="8" t="s">
        <v>911</v>
      </c>
      <c r="K60" s="8"/>
      <c r="L60" s="8"/>
      <c r="M60" s="8"/>
      <c r="N60" s="57"/>
      <c r="O60" s="10"/>
      <c r="P60" s="8"/>
      <c r="Q60" s="8"/>
      <c r="R60" s="11"/>
      <c r="S60" s="11"/>
      <c r="T60" s="117" t="s">
        <v>916</v>
      </c>
      <c r="U60" s="116" t="s">
        <v>1512</v>
      </c>
      <c r="V60" s="11"/>
    </row>
    <row r="61" spans="1:22" x14ac:dyDescent="0.25">
      <c r="D61" s="8" t="s">
        <v>310</v>
      </c>
      <c r="E61" s="8"/>
      <c r="F61" s="8"/>
      <c r="G61" s="8"/>
      <c r="H61" s="8"/>
      <c r="I61" s="8"/>
      <c r="J61" s="8" t="s">
        <v>912</v>
      </c>
      <c r="K61" s="8"/>
      <c r="L61" s="8"/>
      <c r="M61" s="8"/>
      <c r="N61" s="57"/>
      <c r="O61" s="10"/>
      <c r="P61" s="11"/>
      <c r="Q61" s="8"/>
      <c r="R61" s="8"/>
      <c r="S61" s="11"/>
      <c r="T61" s="265"/>
      <c r="U61" s="116"/>
      <c r="V61" s="11"/>
    </row>
    <row r="62" spans="1:22" x14ac:dyDescent="0.25">
      <c r="D62" s="8"/>
      <c r="E62" s="8"/>
      <c r="F62" s="8"/>
      <c r="G62" s="8"/>
      <c r="H62" s="8"/>
      <c r="I62" s="8"/>
      <c r="J62" s="8" t="s">
        <v>913</v>
      </c>
      <c r="K62" s="8"/>
      <c r="L62" s="8"/>
      <c r="M62" s="8"/>
      <c r="N62" s="57"/>
      <c r="O62" s="10"/>
      <c r="P62" s="11"/>
      <c r="Q62" s="8"/>
      <c r="R62" s="8"/>
      <c r="S62" s="11"/>
      <c r="T62" s="265"/>
      <c r="U62" s="116"/>
      <c r="V62" s="11"/>
    </row>
    <row r="63" spans="1:22" x14ac:dyDescent="0.25">
      <c r="D63" s="8"/>
      <c r="E63" s="8"/>
      <c r="F63" s="11"/>
      <c r="G63" s="8"/>
      <c r="H63" s="8"/>
      <c r="I63" s="8"/>
      <c r="J63" s="8" t="s">
        <v>914</v>
      </c>
      <c r="K63" s="12"/>
      <c r="L63" s="12"/>
      <c r="M63" s="12"/>
      <c r="N63" s="57"/>
      <c r="O63" s="8"/>
      <c r="P63" s="8"/>
      <c r="Q63" s="8"/>
      <c r="R63" s="8"/>
      <c r="S63" s="8"/>
      <c r="T63" s="265"/>
      <c r="V63" s="8"/>
    </row>
    <row r="64" spans="1:22" ht="15.75" thickBot="1" x14ac:dyDescent="0.3">
      <c r="D64" s="9" t="s">
        <v>1292</v>
      </c>
      <c r="E64" s="9"/>
      <c r="F64" s="13"/>
      <c r="G64" s="14"/>
      <c r="H64" s="14"/>
      <c r="I64" s="14"/>
      <c r="J64" s="15" t="s">
        <v>915</v>
      </c>
      <c r="K64" s="14"/>
      <c r="L64" s="14"/>
      <c r="M64" s="14"/>
      <c r="N64" s="14"/>
      <c r="O64" s="14"/>
      <c r="P64" s="14"/>
      <c r="Q64" s="15"/>
      <c r="R64" s="14"/>
      <c r="S64" s="14"/>
      <c r="T64" s="14"/>
      <c r="U64" s="114" t="s">
        <v>1519</v>
      </c>
      <c r="V64" s="14"/>
    </row>
    <row r="65" spans="1:22" x14ac:dyDescent="0.25">
      <c r="D65" s="8"/>
      <c r="E65" s="8"/>
      <c r="F65" s="8"/>
      <c r="G65" s="8"/>
      <c r="H65" s="12"/>
      <c r="I65" s="8"/>
      <c r="J65" s="12"/>
      <c r="K65" s="16"/>
      <c r="L65" s="12"/>
      <c r="M65" s="8"/>
      <c r="N65" s="12"/>
      <c r="O65" s="8"/>
      <c r="P65" s="16"/>
      <c r="Q65" s="12"/>
      <c r="R65" s="8"/>
      <c r="S65" s="8"/>
      <c r="T65" s="8"/>
      <c r="U65" s="8"/>
      <c r="V65" s="8"/>
    </row>
    <row r="66" spans="1:22" x14ac:dyDescent="0.25">
      <c r="D66" s="8"/>
      <c r="E66" s="8"/>
      <c r="F66" s="8"/>
      <c r="G66" s="8"/>
      <c r="H66" s="16"/>
      <c r="I66" s="8"/>
      <c r="J66" s="8"/>
      <c r="K66" s="16"/>
      <c r="L66" s="8"/>
      <c r="M66" s="8"/>
      <c r="N66" s="12"/>
      <c r="O66" s="8"/>
      <c r="P66" s="16"/>
      <c r="Q66" s="8"/>
      <c r="R66" s="8"/>
      <c r="S66" s="8"/>
      <c r="T66" s="8"/>
      <c r="U66" s="8"/>
      <c r="V66" s="8"/>
    </row>
    <row r="67" spans="1:22" x14ac:dyDescent="0.25">
      <c r="D67" s="8"/>
      <c r="E67" s="8"/>
      <c r="F67" s="8"/>
      <c r="G67" s="8"/>
      <c r="H67" s="8"/>
      <c r="I67" s="16"/>
      <c r="J67" s="16"/>
      <c r="K67" s="17"/>
      <c r="L67" s="17" t="s">
        <v>311</v>
      </c>
      <c r="M67" s="12"/>
      <c r="N67" s="18" t="s">
        <v>767</v>
      </c>
      <c r="O67" s="16"/>
      <c r="P67" s="8"/>
      <c r="Q67" s="16"/>
      <c r="R67" s="16"/>
      <c r="S67" s="16"/>
      <c r="T67" s="16"/>
      <c r="U67" s="16"/>
      <c r="V67" s="8"/>
    </row>
    <row r="68" spans="1:22" x14ac:dyDescent="0.25">
      <c r="D68" s="8"/>
      <c r="E68" s="8"/>
      <c r="F68" s="8"/>
      <c r="G68" s="8"/>
      <c r="H68" s="8"/>
      <c r="I68" s="16"/>
      <c r="J68" s="16"/>
      <c r="K68" s="16"/>
      <c r="L68" s="16"/>
      <c r="M68" s="16"/>
      <c r="N68" s="12"/>
      <c r="O68" s="16"/>
      <c r="P68" s="16"/>
      <c r="Q68" s="16"/>
      <c r="R68" s="16"/>
      <c r="S68" s="16"/>
      <c r="T68" s="16"/>
      <c r="U68" s="16"/>
      <c r="V68" s="16"/>
    </row>
    <row r="69" spans="1:22" x14ac:dyDescent="0.25">
      <c r="D69" s="57" t="s">
        <v>313</v>
      </c>
      <c r="E69" s="196" t="s">
        <v>314</v>
      </c>
      <c r="F69" s="20"/>
      <c r="G69" s="21"/>
      <c r="H69" s="22"/>
      <c r="I69" s="22"/>
      <c r="J69" s="23" t="s">
        <v>315</v>
      </c>
      <c r="K69" s="22"/>
      <c r="L69" s="22"/>
      <c r="M69" s="20"/>
      <c r="N69" s="24"/>
      <c r="O69" s="22"/>
      <c r="P69" s="23"/>
      <c r="Q69" s="23" t="s">
        <v>316</v>
      </c>
      <c r="R69" s="22"/>
      <c r="S69" s="22"/>
      <c r="T69" s="20"/>
      <c r="U69" s="25" t="s">
        <v>317</v>
      </c>
      <c r="V69" s="25" t="s">
        <v>318</v>
      </c>
    </row>
    <row r="70" spans="1:22" ht="15.75" thickBot="1" x14ac:dyDescent="0.3">
      <c r="A70" s="85" t="s">
        <v>551</v>
      </c>
      <c r="B70" s="85" t="s">
        <v>552</v>
      </c>
      <c r="D70" s="58" t="s">
        <v>319</v>
      </c>
      <c r="E70" s="192" t="s">
        <v>320</v>
      </c>
      <c r="F70" s="27"/>
      <c r="G70" s="9"/>
      <c r="H70" s="58" t="s">
        <v>321</v>
      </c>
      <c r="I70" s="28"/>
      <c r="J70" s="28" t="s">
        <v>322</v>
      </c>
      <c r="K70" s="28"/>
      <c r="L70" s="28" t="s">
        <v>323</v>
      </c>
      <c r="M70" s="28"/>
      <c r="N70" s="28"/>
      <c r="O70" s="28" t="s">
        <v>321</v>
      </c>
      <c r="P70" s="28"/>
      <c r="Q70" s="28" t="s">
        <v>322</v>
      </c>
      <c r="R70" s="28"/>
      <c r="S70" s="28" t="s">
        <v>323</v>
      </c>
      <c r="T70" s="27"/>
      <c r="U70" s="29" t="s">
        <v>324</v>
      </c>
      <c r="V70" s="29" t="s">
        <v>325</v>
      </c>
    </row>
    <row r="71" spans="1:22" x14ac:dyDescent="0.25">
      <c r="B71" s="59"/>
      <c r="D71" s="57">
        <v>1</v>
      </c>
      <c r="E71" s="30"/>
      <c r="F71" s="31"/>
      <c r="G71" s="8"/>
      <c r="H71" s="8"/>
      <c r="I71" s="35"/>
      <c r="J71" s="35"/>
      <c r="K71" s="35"/>
      <c r="L71" s="35"/>
      <c r="M71" s="31"/>
      <c r="N71" s="24"/>
      <c r="O71" s="31"/>
      <c r="P71" s="35"/>
      <c r="Q71" s="35"/>
      <c r="R71" s="35"/>
      <c r="S71" s="35"/>
      <c r="T71" s="35"/>
      <c r="U71" s="35"/>
      <c r="V71" s="35"/>
    </row>
    <row r="72" spans="1:22" x14ac:dyDescent="0.25">
      <c r="A72" s="59"/>
      <c r="B72" s="59"/>
      <c r="D72" s="57">
        <v>2</v>
      </c>
      <c r="E72" s="31" t="s">
        <v>326</v>
      </c>
      <c r="F72" s="8"/>
      <c r="G72" s="8"/>
      <c r="H72" s="8"/>
      <c r="I72" s="8"/>
      <c r="J72" s="8"/>
      <c r="K72" s="8"/>
      <c r="L72" s="8"/>
      <c r="M72" s="8"/>
      <c r="N72" s="57"/>
      <c r="O72" s="8"/>
      <c r="P72" s="8"/>
      <c r="Q72" s="8"/>
      <c r="R72" s="8"/>
      <c r="S72" s="8"/>
      <c r="T72" s="8"/>
      <c r="U72" s="8"/>
      <c r="V72" s="8"/>
    </row>
    <row r="73" spans="1:22" x14ac:dyDescent="0.25">
      <c r="A73" s="59" t="s">
        <v>248</v>
      </c>
      <c r="B73" s="59" t="s">
        <v>559</v>
      </c>
      <c r="D73" s="57">
        <v>3</v>
      </c>
      <c r="E73" s="193" t="s">
        <v>768</v>
      </c>
      <c r="F73" s="8"/>
      <c r="G73" s="8"/>
      <c r="H73" s="8">
        <f>+INDEX('2025 Billing Determinants'!B:B,MATCH('2027 GSLDSU Rate Class E-13c'!A73,'2025 Billing Determinants'!A:A,0))</f>
        <v>0</v>
      </c>
      <c r="I73" s="32" t="s">
        <v>328</v>
      </c>
      <c r="J73" s="47">
        <f>+INDEX('2026 Base Rates'!E:E,MATCH('2027 GSLDSU Rate Class E-13c'!B73,'2026 Base Rates'!D:D,0))</f>
        <v>136.05437718013363</v>
      </c>
      <c r="K73" s="8"/>
      <c r="L73" s="32">
        <f>+H73*J73</f>
        <v>0</v>
      </c>
      <c r="M73" s="8"/>
      <c r="N73" s="57"/>
      <c r="O73" s="8">
        <f>+INDEX('2025 Billing Determinants'!B:B,MATCH('2027 GSLDSU Rate Class E-13c'!A73,'2025 Billing Determinants'!A:A,0))</f>
        <v>0</v>
      </c>
      <c r="P73" s="32" t="s">
        <v>328</v>
      </c>
      <c r="Q73" s="47">
        <f t="shared" ref="Q73:Q74" si="18">+J73*(1+$B$7)</f>
        <v>141.52105974230042</v>
      </c>
      <c r="R73" s="8"/>
      <c r="S73" s="32">
        <f>+O73*Q73</f>
        <v>0</v>
      </c>
      <c r="T73" s="8"/>
      <c r="U73" s="32">
        <f t="shared" ref="U73:U75" si="19">+S73-L73</f>
        <v>0</v>
      </c>
      <c r="V73" s="41">
        <f t="shared" ref="V73:V75" si="20">+IF(U73=0,0,(S73-L73)/L73)</f>
        <v>0</v>
      </c>
    </row>
    <row r="74" spans="1:22" ht="16.5" x14ac:dyDescent="0.35">
      <c r="A74" s="59" t="s">
        <v>277</v>
      </c>
      <c r="B74" s="59" t="s">
        <v>560</v>
      </c>
      <c r="D74" s="57">
        <v>4</v>
      </c>
      <c r="E74" s="8" t="s">
        <v>935</v>
      </c>
      <c r="F74" s="31"/>
      <c r="G74" s="8"/>
      <c r="H74" s="104">
        <f>+INDEX('2025 Billing Determinants'!B:B,MATCH('2027 GSLDSU Rate Class E-13c'!A74,'2025 Billing Determinants'!A:A,0))</f>
        <v>2587</v>
      </c>
      <c r="I74" s="32" t="s">
        <v>328</v>
      </c>
      <c r="J74" s="47">
        <f>+INDEX('2026 Base Rates'!E:E,MATCH('2027 GSLDSU Rate Class E-13c'!B74,'2026 Base Rates'!D:D,0))</f>
        <v>136.05437718013363</v>
      </c>
      <c r="K74" s="32"/>
      <c r="L74" s="105">
        <f>+H74*J74</f>
        <v>351972.67376500572</v>
      </c>
      <c r="M74" s="33"/>
      <c r="N74" s="42"/>
      <c r="O74" s="104">
        <f>+INDEX('2025 Billing Determinants'!B:B,MATCH('2027 GSLDSU Rate Class E-13c'!A74,'2025 Billing Determinants'!A:A,0))</f>
        <v>2587</v>
      </c>
      <c r="P74" s="32" t="s">
        <v>328</v>
      </c>
      <c r="Q74" s="47">
        <f t="shared" si="18"/>
        <v>141.52105974230042</v>
      </c>
      <c r="R74" s="32"/>
      <c r="S74" s="105">
        <f>+O74*Q74</f>
        <v>366114.98155333119</v>
      </c>
      <c r="T74" s="8"/>
      <c r="U74" s="32">
        <f t="shared" si="19"/>
        <v>14142.307788325474</v>
      </c>
      <c r="V74" s="41">
        <f t="shared" si="20"/>
        <v>4.018012999999987E-2</v>
      </c>
    </row>
    <row r="75" spans="1:22" x14ac:dyDescent="0.25">
      <c r="A75" s="59"/>
      <c r="B75" s="59"/>
      <c r="D75" s="57">
        <v>5</v>
      </c>
      <c r="E75" s="31" t="s">
        <v>747</v>
      </c>
      <c r="F75" s="31"/>
      <c r="G75" s="8"/>
      <c r="H75" s="218">
        <f>+SUM(H73:H74)</f>
        <v>2587</v>
      </c>
      <c r="I75" s="32" t="s">
        <v>341</v>
      </c>
      <c r="J75" s="47"/>
      <c r="K75" s="32"/>
      <c r="L75" s="100">
        <f>+SUM(L73:L74)</f>
        <v>351972.67376500572</v>
      </c>
      <c r="M75" s="32"/>
      <c r="N75" s="42"/>
      <c r="O75" s="218">
        <f>+SUM(O73:O74)</f>
        <v>2587</v>
      </c>
      <c r="P75" s="32" t="s">
        <v>341</v>
      </c>
      <c r="Q75" s="47"/>
      <c r="R75" s="32"/>
      <c r="S75" s="100">
        <f>+SUM(S73:S74)</f>
        <v>366114.98155333119</v>
      </c>
      <c r="T75" s="8"/>
      <c r="U75" s="32">
        <f t="shared" si="19"/>
        <v>14142.307788325474</v>
      </c>
      <c r="V75" s="41">
        <f t="shared" si="20"/>
        <v>4.018012999999987E-2</v>
      </c>
    </row>
    <row r="76" spans="1:22" x14ac:dyDescent="0.25">
      <c r="A76" s="59"/>
      <c r="B76" s="59"/>
      <c r="D76" s="57">
        <v>6</v>
      </c>
      <c r="E76" s="8"/>
      <c r="F76" s="8"/>
      <c r="G76" s="8"/>
      <c r="H76" s="8"/>
      <c r="I76" s="8"/>
      <c r="J76" s="8"/>
      <c r="K76" s="8"/>
      <c r="L76" s="33"/>
      <c r="M76" s="8"/>
      <c r="N76" s="57"/>
      <c r="O76" s="8"/>
      <c r="P76" s="8"/>
      <c r="Q76" s="8"/>
      <c r="R76" s="8"/>
      <c r="S76" s="33"/>
      <c r="T76" s="8"/>
      <c r="U76" s="8"/>
      <c r="V76" s="8"/>
    </row>
    <row r="77" spans="1:22" x14ac:dyDescent="0.25">
      <c r="A77" s="59"/>
      <c r="B77" s="59"/>
      <c r="D77" s="57">
        <v>7</v>
      </c>
      <c r="E77" s="31" t="s">
        <v>400</v>
      </c>
      <c r="F77" s="8"/>
      <c r="G77" s="8"/>
      <c r="H77" s="8"/>
      <c r="I77" s="8"/>
      <c r="J77" s="8"/>
      <c r="K77" s="8"/>
      <c r="L77" s="33"/>
      <c r="M77" s="8"/>
      <c r="N77" s="57"/>
      <c r="O77" s="8"/>
      <c r="P77" s="8"/>
      <c r="Q77" s="8"/>
      <c r="R77" s="8"/>
      <c r="S77" s="33"/>
      <c r="T77" s="8"/>
      <c r="U77" s="8"/>
      <c r="V77" s="8"/>
    </row>
    <row r="78" spans="1:22" x14ac:dyDescent="0.25">
      <c r="A78" s="59" t="s">
        <v>254</v>
      </c>
      <c r="B78" s="59" t="s">
        <v>561</v>
      </c>
      <c r="D78" s="57">
        <v>8</v>
      </c>
      <c r="E78" s="193" t="s">
        <v>768</v>
      </c>
      <c r="F78" s="8"/>
      <c r="G78" s="8"/>
      <c r="H78" s="8">
        <f>+INDEX('2025 Billing Determinants'!B:B,MATCH('2027 GSLDSU Rate Class E-13c'!A78,'2025 Billing Determinants'!A:A,0))</f>
        <v>0</v>
      </c>
      <c r="I78" s="32" t="s">
        <v>710</v>
      </c>
      <c r="J78" s="106">
        <f>+INDEX('2026 Base Rates'!E:E,MATCH('2027 GSLDSU Rate Class E-13c'!B78,'2026 Base Rates'!D:D,0))</f>
        <v>1.2314277017726343E-2</v>
      </c>
      <c r="K78" s="8"/>
      <c r="L78" s="32">
        <f>+H78*J78</f>
        <v>0</v>
      </c>
      <c r="M78" s="8"/>
      <c r="N78" s="57"/>
      <c r="O78" s="8">
        <f>+INDEX('2025 Billing Determinants'!B:B,MATCH('2027 GSLDSU Rate Class E-13c'!A78,'2025 Billing Determinants'!A:A,0))</f>
        <v>0</v>
      </c>
      <c r="P78" s="32" t="s">
        <v>710</v>
      </c>
      <c r="Q78" s="106">
        <f t="shared" ref="Q78:Q81" si="21">+J78*(1+$B$7)</f>
        <v>1.2809066269154601E-2</v>
      </c>
      <c r="R78" s="8"/>
      <c r="S78" s="32">
        <f>+O78*Q78</f>
        <v>0</v>
      </c>
      <c r="T78" s="8"/>
      <c r="U78" s="32">
        <f t="shared" ref="U78:U82" si="22">+S78-L78</f>
        <v>0</v>
      </c>
      <c r="V78" s="41">
        <f t="shared" ref="V78:V82" si="23">+IF(U78=0,0,(S78-L78)/L78)</f>
        <v>0</v>
      </c>
    </row>
    <row r="79" spans="1:22" x14ac:dyDescent="0.25">
      <c r="A79" s="59" t="s">
        <v>284</v>
      </c>
      <c r="B79" s="59" t="s">
        <v>562</v>
      </c>
      <c r="D79" s="57">
        <v>9</v>
      </c>
      <c r="E79" s="8" t="s">
        <v>936</v>
      </c>
      <c r="F79" s="8"/>
      <c r="G79" s="8"/>
      <c r="H79" s="33">
        <f>+INDEX('2025 Billing Determinants'!B:B,MATCH('2027 GSLDSU Rate Class E-13c'!A79,'2025 Billing Determinants'!A:A,0))</f>
        <v>78130773</v>
      </c>
      <c r="I79" s="32" t="s">
        <v>710</v>
      </c>
      <c r="J79" s="106">
        <f>+INDEX('2026 Base Rates'!E:E,MATCH('2027 GSLDSU Rate Class E-13c'!B79,'2026 Base Rates'!D:D,0))</f>
        <v>2.216783838464725E-2</v>
      </c>
      <c r="K79" s="8"/>
      <c r="L79" s="32">
        <f>+H79*J79</f>
        <v>1731990.3487315611</v>
      </c>
      <c r="M79" s="8"/>
      <c r="N79" s="57"/>
      <c r="O79" s="33">
        <f>+INDEX('2025 Billing Determinants'!B:B,MATCH('2027 GSLDSU Rate Class E-13c'!A79,'2025 Billing Determinants'!A:A,0))</f>
        <v>78130773</v>
      </c>
      <c r="P79" s="32" t="s">
        <v>710</v>
      </c>
      <c r="Q79" s="106">
        <f t="shared" si="21"/>
        <v>2.3058545012761368E-2</v>
      </c>
      <c r="R79" s="32"/>
      <c r="S79" s="32">
        <f>+O79*Q79</f>
        <v>1801581.9461023405</v>
      </c>
      <c r="T79" s="8"/>
      <c r="U79" s="32">
        <f t="shared" si="22"/>
        <v>69591.597370779375</v>
      </c>
      <c r="V79" s="41">
        <f t="shared" si="23"/>
        <v>4.0180129999999953E-2</v>
      </c>
    </row>
    <row r="80" spans="1:22" x14ac:dyDescent="0.25">
      <c r="A80" s="59" t="s">
        <v>285</v>
      </c>
      <c r="B80" s="59" t="s">
        <v>563</v>
      </c>
      <c r="D80" s="57">
        <v>10</v>
      </c>
      <c r="E80" s="8" t="s">
        <v>937</v>
      </c>
      <c r="F80" s="8"/>
      <c r="G80" s="33"/>
      <c r="H80" s="32">
        <f>+INDEX('2025 Billing Determinants'!B:B,MATCH('2027 GSLDSU Rate Class E-13c'!A80,'2025 Billing Determinants'!A:A,0))</f>
        <v>126481852</v>
      </c>
      <c r="I80" s="106" t="s">
        <v>710</v>
      </c>
      <c r="J80" s="106">
        <f>+INDEX('2026 Base Rates'!E:E,MATCH('2027 GSLDSU Rate Class E-13c'!B80,'2026 Base Rates'!D:D,0))</f>
        <v>1.0812318894059951E-2</v>
      </c>
      <c r="K80" s="32"/>
      <c r="L80" s="32">
        <f>+H80*J80</f>
        <v>1367562.1181352944</v>
      </c>
      <c r="M80" s="57"/>
      <c r="N80" s="33"/>
      <c r="O80" s="32">
        <f>+INDEX('2025 Billing Determinants'!B:B,MATCH('2027 GSLDSU Rate Class E-13c'!A80,'2025 Billing Determinants'!A:A,0))</f>
        <v>126481852</v>
      </c>
      <c r="P80" s="106" t="s">
        <v>710</v>
      </c>
      <c r="Q80" s="106">
        <f t="shared" si="21"/>
        <v>1.1246759272824735E-2</v>
      </c>
      <c r="R80" s="32"/>
      <c r="S80" s="32">
        <f>+O80*Q80</f>
        <v>1422510.9418250457</v>
      </c>
      <c r="T80" s="8"/>
      <c r="U80" s="32">
        <f t="shared" si="22"/>
        <v>54948.823689751327</v>
      </c>
      <c r="V80" s="41">
        <f t="shared" si="23"/>
        <v>4.0180129999999883E-2</v>
      </c>
    </row>
    <row r="81" spans="1:22" ht="16.5" x14ac:dyDescent="0.35">
      <c r="A81" s="59" t="s">
        <v>907</v>
      </c>
      <c r="B81" s="59" t="s">
        <v>1247</v>
      </c>
      <c r="D81" s="57"/>
      <c r="E81" s="8" t="s">
        <v>1274</v>
      </c>
      <c r="F81" s="35"/>
      <c r="G81" s="8"/>
      <c r="H81" s="104">
        <f>+INDEX('2025 Billing Determinants'!B:B,MATCH('2027 GSLDSU Rate Class E-13c'!A81,'2025 Billing Determinants'!A:A,0))</f>
        <v>116358426</v>
      </c>
      <c r="I81" s="32" t="s">
        <v>710</v>
      </c>
      <c r="J81" s="106">
        <f>+INDEX('2026 Base Rates'!E:E,MATCH('2027 GSLDSU Rate Class E-13c'!B81,'2026 Base Rates'!D:D,0))</f>
        <v>7.5920969489680296E-3</v>
      </c>
      <c r="K81" s="32"/>
      <c r="L81" s="105">
        <f>+H81*J81</f>
        <v>883404.45102132228</v>
      </c>
      <c r="M81" s="32"/>
      <c r="N81" s="42"/>
      <c r="O81" s="104">
        <f>+INDEX('2025 Billing Determinants'!B:B,MATCH('2027 GSLDSU Rate Class E-13c'!A81,'2025 Billing Determinants'!A:A,0))</f>
        <v>116358426</v>
      </c>
      <c r="P81" s="32" t="s">
        <v>710</v>
      </c>
      <c r="Q81" s="106">
        <f t="shared" si="21"/>
        <v>7.897148391350169E-3</v>
      </c>
      <c r="R81" s="8"/>
      <c r="S81" s="105">
        <f>+O81*Q81</f>
        <v>918899.75670593767</v>
      </c>
      <c r="T81" s="8"/>
      <c r="U81" s="32">
        <f t="shared" ref="U81" si="24">+S81-L81</f>
        <v>35495.305684615392</v>
      </c>
      <c r="V81" s="143">
        <f>IFERROR(+IF(U81=0,0,(S81-L81)/L81),"New Rate")</f>
        <v>4.0180130000000036E-2</v>
      </c>
    </row>
    <row r="82" spans="1:22" x14ac:dyDescent="0.25">
      <c r="A82" s="59"/>
      <c r="B82" s="59"/>
      <c r="D82" s="57">
        <v>11</v>
      </c>
      <c r="E82" s="8" t="s">
        <v>335</v>
      </c>
      <c r="F82" s="35"/>
      <c r="G82" s="8"/>
      <c r="H82" s="33">
        <f>+SUM(H78:H81)</f>
        <v>320971051</v>
      </c>
      <c r="I82" s="32"/>
      <c r="J82" s="47"/>
      <c r="K82" s="32"/>
      <c r="L82" s="100">
        <f>+SUM(L78:L81)</f>
        <v>3982956.9178881776</v>
      </c>
      <c r="M82" s="32"/>
      <c r="N82" s="42"/>
      <c r="O82" s="33">
        <f>+SUM(O78:O81)</f>
        <v>320971051</v>
      </c>
      <c r="P82" s="32"/>
      <c r="Q82" s="47"/>
      <c r="R82" s="8"/>
      <c r="S82" s="100">
        <f>+SUM(S78:S81)</f>
        <v>4142992.6446333239</v>
      </c>
      <c r="T82" s="8"/>
      <c r="U82" s="32">
        <f t="shared" si="22"/>
        <v>160035.72674514633</v>
      </c>
      <c r="V82" s="41">
        <f t="shared" si="23"/>
        <v>4.0180130000000008E-2</v>
      </c>
    </row>
    <row r="83" spans="1:22" x14ac:dyDescent="0.25">
      <c r="A83" s="59"/>
      <c r="B83" s="59"/>
      <c r="D83" s="57">
        <v>12</v>
      </c>
      <c r="E83" s="8"/>
      <c r="F83" s="35"/>
      <c r="G83" s="8"/>
      <c r="H83" s="33"/>
      <c r="I83" s="32"/>
      <c r="J83" s="47"/>
      <c r="K83" s="32"/>
      <c r="L83" s="33"/>
      <c r="M83" s="32"/>
      <c r="N83" s="42"/>
      <c r="O83" s="33"/>
      <c r="P83" s="32"/>
      <c r="Q83" s="47"/>
      <c r="R83" s="8"/>
      <c r="S83" s="33"/>
      <c r="T83" s="8"/>
      <c r="U83" s="8"/>
      <c r="V83" s="43"/>
    </row>
    <row r="84" spans="1:22" x14ac:dyDescent="0.25">
      <c r="A84" s="59"/>
      <c r="B84" s="59"/>
      <c r="D84" s="57">
        <v>13</v>
      </c>
      <c r="E84" s="31" t="s">
        <v>407</v>
      </c>
      <c r="F84" s="8"/>
      <c r="G84" s="8"/>
      <c r="H84" s="8"/>
      <c r="I84" s="8"/>
      <c r="J84" s="47"/>
      <c r="K84" s="8"/>
      <c r="L84" s="33"/>
      <c r="M84" s="8"/>
      <c r="N84" s="57"/>
      <c r="O84" s="8"/>
      <c r="P84" s="8"/>
      <c r="Q84" s="47"/>
      <c r="R84" s="8"/>
      <c r="S84" s="33"/>
      <c r="T84" s="8"/>
      <c r="U84" s="8"/>
      <c r="V84" s="8"/>
    </row>
    <row r="85" spans="1:22" x14ac:dyDescent="0.25">
      <c r="A85" s="59" t="s">
        <v>256</v>
      </c>
      <c r="B85" s="59" t="s">
        <v>564</v>
      </c>
      <c r="D85" s="57">
        <v>14</v>
      </c>
      <c r="E85" s="31" t="s">
        <v>768</v>
      </c>
      <c r="F85" s="8"/>
      <c r="G85" s="8"/>
      <c r="H85" s="8">
        <f>+INDEX('2025 Billing Determinants'!B:B,MATCH('2027 GSLDSU Rate Class E-13c'!A85,'2025 Billing Determinants'!A:A,0))</f>
        <v>0</v>
      </c>
      <c r="I85" s="32" t="s">
        <v>710</v>
      </c>
      <c r="J85" s="106">
        <f>+INDEX('2026 Base Rates'!E:E,MATCH('2027 GSLDSU Rate Class E-13c'!B85,'2026 Base Rates'!D:D,0))</f>
        <v>9.1688404901750439E-3</v>
      </c>
      <c r="K85" s="8"/>
      <c r="L85" s="33">
        <f>+H85*J85</f>
        <v>0</v>
      </c>
      <c r="M85" s="8"/>
      <c r="N85" s="57"/>
      <c r="O85" s="8">
        <f>+INDEX('2025 Billing Determinants'!B:B,MATCH('2027 GSLDSU Rate Class E-13c'!A85,'2025 Billing Determinants'!A:A,0))</f>
        <v>0</v>
      </c>
      <c r="P85" s="32" t="s">
        <v>710</v>
      </c>
      <c r="Q85" s="106">
        <f t="shared" ref="Q85:Q88" si="25">+J85*(1+$B$7)</f>
        <v>9.5372456930195408E-3</v>
      </c>
      <c r="R85" s="8"/>
      <c r="S85" s="33">
        <f>+O85*Q85</f>
        <v>0</v>
      </c>
      <c r="T85" s="8"/>
      <c r="U85" s="32">
        <f t="shared" ref="U85:U89" si="26">+S85-L85</f>
        <v>0</v>
      </c>
      <c r="V85" s="41">
        <f t="shared" ref="V85:V89" si="27">+IF(U85=0,0,(S85-L85)/L85)</f>
        <v>0</v>
      </c>
    </row>
    <row r="86" spans="1:22" x14ac:dyDescent="0.25">
      <c r="A86" s="59" t="s">
        <v>289</v>
      </c>
      <c r="B86" s="59" t="s">
        <v>565</v>
      </c>
      <c r="D86" s="57">
        <v>15</v>
      </c>
      <c r="E86" s="8" t="s">
        <v>936</v>
      </c>
      <c r="F86" s="8"/>
      <c r="G86" s="8"/>
      <c r="H86" s="33">
        <f>+INDEX('2025 Billing Determinants'!B:B,MATCH('2027 GSLDSU Rate Class E-13c'!A86,'2025 Billing Determinants'!A:A,0))</f>
        <v>50383603</v>
      </c>
      <c r="I86" s="32" t="s">
        <v>710</v>
      </c>
      <c r="J86" s="106">
        <f>+INDEX('2026 Base Rates'!E:E,MATCH('2027 GSLDSU Rate Class E-13c'!B86,'2026 Base Rates'!D:D,0))</f>
        <v>9.1688404901750439E-3</v>
      </c>
      <c r="K86" s="8"/>
      <c r="L86" s="32">
        <f t="shared" ref="L86:L88" si="28">+H86*J86</f>
        <v>461959.2192273048</v>
      </c>
      <c r="M86" s="8"/>
      <c r="N86" s="57"/>
      <c r="O86" s="33">
        <f>+INDEX('2025 Billing Determinants'!B:B,MATCH('2027 GSLDSU Rate Class E-13c'!A86,'2025 Billing Determinants'!A:A,0))</f>
        <v>50383603</v>
      </c>
      <c r="P86" s="32" t="s">
        <v>710</v>
      </c>
      <c r="Q86" s="106">
        <f t="shared" si="25"/>
        <v>9.5372456930195408E-3</v>
      </c>
      <c r="R86" s="8"/>
      <c r="S86" s="32">
        <f t="shared" ref="S86:S87" si="29">+O86*Q86</f>
        <v>480520.80071055639</v>
      </c>
      <c r="T86" s="32"/>
      <c r="U86" s="32">
        <f t="shared" si="26"/>
        <v>18561.58148325159</v>
      </c>
      <c r="V86" s="41">
        <f t="shared" si="27"/>
        <v>4.0180129999999967E-2</v>
      </c>
    </row>
    <row r="87" spans="1:22" x14ac:dyDescent="0.25">
      <c r="A87" s="59" t="s">
        <v>290</v>
      </c>
      <c r="B87" s="59" t="s">
        <v>566</v>
      </c>
      <c r="D87" s="57">
        <v>16</v>
      </c>
      <c r="E87" s="8" t="s">
        <v>937</v>
      </c>
      <c r="F87" s="8"/>
      <c r="G87" s="8"/>
      <c r="H87" s="33">
        <f>+INDEX('2025 Billing Determinants'!B:B,MATCH('2027 GSLDSU Rate Class E-13c'!A87,'2025 Billing Determinants'!A:A,0))</f>
        <v>81563400</v>
      </c>
      <c r="I87" s="32" t="s">
        <v>710</v>
      </c>
      <c r="J87" s="106">
        <f>+INDEX('2026 Base Rates'!E:E,MATCH('2027 GSLDSU Rate Class E-13c'!B87,'2026 Base Rates'!D:D,0))</f>
        <v>9.1688404901750439E-3</v>
      </c>
      <c r="K87" s="8"/>
      <c r="L87" s="32">
        <f t="shared" si="28"/>
        <v>747841.80443634314</v>
      </c>
      <c r="M87" s="8"/>
      <c r="N87" s="57"/>
      <c r="O87" s="33">
        <f>+INDEX('2025 Billing Determinants'!B:B,MATCH('2027 GSLDSU Rate Class E-13c'!A87,'2025 Billing Determinants'!A:A,0))</f>
        <v>81563400</v>
      </c>
      <c r="P87" s="32" t="s">
        <v>710</v>
      </c>
      <c r="Q87" s="106">
        <f t="shared" si="25"/>
        <v>9.5372456930195408E-3</v>
      </c>
      <c r="R87" s="8"/>
      <c r="S87" s="32">
        <f t="shared" si="29"/>
        <v>777890.18535803002</v>
      </c>
      <c r="T87" s="32"/>
      <c r="U87" s="32">
        <f t="shared" si="26"/>
        <v>30048.380921686883</v>
      </c>
      <c r="V87" s="41">
        <f t="shared" si="27"/>
        <v>4.018013000000005E-2</v>
      </c>
    </row>
    <row r="88" spans="1:22" ht="16.5" x14ac:dyDescent="0.35">
      <c r="A88" s="59" t="s">
        <v>908</v>
      </c>
      <c r="B88" s="59" t="s">
        <v>1248</v>
      </c>
      <c r="D88" s="57"/>
      <c r="E88" s="8" t="s">
        <v>1274</v>
      </c>
      <c r="F88" s="8"/>
      <c r="G88" s="8"/>
      <c r="H88" s="104">
        <f>+INDEX('2025 Billing Determinants'!B:B,MATCH('2027 GSLDSU Rate Class E-13c'!A88,'2025 Billing Determinants'!A:A,0))</f>
        <v>75035181</v>
      </c>
      <c r="I88" s="32" t="s">
        <v>710</v>
      </c>
      <c r="J88" s="106">
        <f>+INDEX('2026 Base Rates'!E:E,MATCH('2027 GSLDSU Rate Class E-13c'!B88,'2026 Base Rates'!D:D,0))</f>
        <v>9.1688404901750439E-3</v>
      </c>
      <c r="K88" s="8"/>
      <c r="L88" s="32">
        <f t="shared" si="28"/>
        <v>687985.60574041319</v>
      </c>
      <c r="M88" s="8"/>
      <c r="N88" s="57"/>
      <c r="O88" s="104">
        <f>+INDEX('2025 Billing Determinants'!B:B,MATCH('2027 GSLDSU Rate Class E-13c'!A88,'2025 Billing Determinants'!A:A,0))</f>
        <v>75035181</v>
      </c>
      <c r="P88" s="32" t="s">
        <v>710</v>
      </c>
      <c r="Q88" s="106">
        <f t="shared" si="25"/>
        <v>9.5372456930195408E-3</v>
      </c>
      <c r="R88" s="8"/>
      <c r="S88" s="32">
        <f t="shared" ref="S88" si="30">+O88*Q88</f>
        <v>715628.95681719168</v>
      </c>
      <c r="T88" s="8"/>
      <c r="U88" s="32">
        <f t="shared" ref="U88" si="31">+S88-L88</f>
        <v>27643.35107677849</v>
      </c>
      <c r="V88" s="41">
        <f t="shared" ref="V88" si="32">+IF(U88=0,0,(S88-L88)/L88)</f>
        <v>4.0180129999999918E-2</v>
      </c>
    </row>
    <row r="89" spans="1:22" x14ac:dyDescent="0.25">
      <c r="A89" s="59"/>
      <c r="B89" s="59"/>
      <c r="D89" s="57">
        <v>17</v>
      </c>
      <c r="E89" s="31" t="s">
        <v>747</v>
      </c>
      <c r="F89" s="35"/>
      <c r="G89" s="8"/>
      <c r="H89" s="33">
        <f>+SUM(H85:H88)</f>
        <v>206982184</v>
      </c>
      <c r="I89" s="32" t="s">
        <v>710</v>
      </c>
      <c r="J89" s="47"/>
      <c r="K89" s="32"/>
      <c r="L89" s="101">
        <f>+SUM(L85:L88)</f>
        <v>1897786.629404061</v>
      </c>
      <c r="M89" s="32"/>
      <c r="N89" s="42"/>
      <c r="O89" s="33">
        <f>+SUM(O85:O88)</f>
        <v>206982184</v>
      </c>
      <c r="P89" s="32" t="s">
        <v>710</v>
      </c>
      <c r="Q89" s="47"/>
      <c r="R89" s="8"/>
      <c r="S89" s="101">
        <f>+SUM(S85:S88)</f>
        <v>1974039.9428857779</v>
      </c>
      <c r="T89" s="8"/>
      <c r="U89" s="32">
        <f t="shared" si="26"/>
        <v>76253.313481716905</v>
      </c>
      <c r="V89" s="41">
        <f t="shared" si="27"/>
        <v>4.0180129999999953E-2</v>
      </c>
    </row>
    <row r="90" spans="1:22" x14ac:dyDescent="0.25">
      <c r="A90" s="59"/>
      <c r="B90" s="59"/>
      <c r="D90" s="57">
        <v>18</v>
      </c>
      <c r="E90" s="8"/>
      <c r="F90" s="8"/>
      <c r="G90" s="8"/>
      <c r="H90" s="8"/>
      <c r="I90" s="8"/>
      <c r="J90" s="8"/>
      <c r="K90" s="8"/>
      <c r="L90" s="8"/>
      <c r="M90" s="8"/>
      <c r="N90" s="57"/>
      <c r="O90" s="8"/>
      <c r="P90" s="8"/>
      <c r="Q90" s="8"/>
      <c r="R90" s="8"/>
      <c r="S90" s="8"/>
      <c r="T90" s="8"/>
      <c r="U90" s="8"/>
      <c r="V90" s="8"/>
    </row>
    <row r="91" spans="1:22" x14ac:dyDescent="0.25">
      <c r="A91" s="59"/>
      <c r="B91" s="59"/>
      <c r="D91" s="57">
        <v>19</v>
      </c>
      <c r="E91" s="31" t="s">
        <v>411</v>
      </c>
      <c r="F91" s="8"/>
      <c r="G91" s="8"/>
      <c r="H91" s="8"/>
      <c r="I91" s="8"/>
      <c r="J91" s="8"/>
      <c r="K91" s="8"/>
      <c r="L91" s="8"/>
      <c r="M91" s="8"/>
      <c r="N91" s="57"/>
      <c r="O91" s="8"/>
      <c r="P91" s="8"/>
      <c r="Q91" s="8"/>
      <c r="R91" s="8"/>
      <c r="S91" s="8"/>
      <c r="T91" s="8"/>
      <c r="U91" s="8"/>
      <c r="V91" s="8"/>
    </row>
    <row r="92" spans="1:22" x14ac:dyDescent="0.25">
      <c r="A92" s="59" t="s">
        <v>255</v>
      </c>
      <c r="B92" s="59" t="s">
        <v>594</v>
      </c>
      <c r="D92" s="57">
        <v>20</v>
      </c>
      <c r="E92" s="193" t="s">
        <v>768</v>
      </c>
      <c r="F92" s="8"/>
      <c r="G92" s="8"/>
      <c r="H92" s="8">
        <f>+INDEX('2025 Billing Determinants'!B:B,MATCH('2027 GSLDSU Rate Class E-13c'!A92,'2025 Billing Determinants'!A:A,0))</f>
        <v>0</v>
      </c>
      <c r="I92" s="32" t="s">
        <v>729</v>
      </c>
      <c r="J92" s="47">
        <f>+INDEX('2026 Base Rates'!E:E,MATCH('2027 GSLDSU Rate Class E-13c'!B92,'2026 Base Rates'!D:D,0))</f>
        <v>13.528692539970505</v>
      </c>
      <c r="K92" s="76"/>
      <c r="L92" s="32">
        <f>+H92*J92</f>
        <v>0</v>
      </c>
      <c r="M92" s="8"/>
      <c r="N92" s="57"/>
      <c r="O92" s="8">
        <f>+INDEX('2025 Billing Determinants'!B:B,MATCH('2027 GSLDSU Rate Class E-13c'!A92,'2025 Billing Determinants'!A:A,0))</f>
        <v>0</v>
      </c>
      <c r="P92" s="32" t="s">
        <v>729</v>
      </c>
      <c r="Q92" s="47">
        <f t="shared" ref="Q92:Q94" si="33">+J92*(1+$B$7)</f>
        <v>14.072277164956549</v>
      </c>
      <c r="R92" s="8"/>
      <c r="S92" s="32">
        <f>+O92*Q92</f>
        <v>0</v>
      </c>
      <c r="T92" s="8"/>
      <c r="U92" s="32">
        <f t="shared" ref="U92:U95" si="34">+S92-L92</f>
        <v>0</v>
      </c>
      <c r="V92" s="41">
        <f t="shared" ref="V92:V95" si="35">+IF(U92=0,0,(S92-L92)/L92)</f>
        <v>0</v>
      </c>
    </row>
    <row r="93" spans="1:22" x14ac:dyDescent="0.25">
      <c r="A93" s="59" t="s">
        <v>286</v>
      </c>
      <c r="B93" s="59" t="s">
        <v>597</v>
      </c>
      <c r="D93" s="57">
        <v>21</v>
      </c>
      <c r="E93" s="8" t="s">
        <v>938</v>
      </c>
      <c r="F93" s="8"/>
      <c r="G93" s="8"/>
      <c r="H93" s="33">
        <f>+INDEX('2025 Billing Determinants'!B:B,MATCH('2027 GSLDSU Rate Class E-13c'!A93,'2025 Billing Determinants'!A:A,0))</f>
        <v>516200</v>
      </c>
      <c r="I93" s="32" t="s">
        <v>729</v>
      </c>
      <c r="J93" s="47">
        <f>+INDEX('2026 Base Rates'!E:E,MATCH('2027 GSLDSU Rate Class E-13c'!B93,'2026 Base Rates'!D:D,0))</f>
        <v>1.6433626520945765</v>
      </c>
      <c r="K93" s="76"/>
      <c r="L93" s="32">
        <f t="shared" ref="L93:L94" si="36">+H93*J93</f>
        <v>848303.80101122044</v>
      </c>
      <c r="M93" s="32"/>
      <c r="N93" s="42"/>
      <c r="O93" s="32">
        <f>+INDEX('2025 Billing Determinants'!B:B,MATCH('2027 GSLDSU Rate Class E-13c'!A93,'2025 Billing Determinants'!A:A,0))</f>
        <v>516200</v>
      </c>
      <c r="P93" s="32" t="s">
        <v>729</v>
      </c>
      <c r="Q93" s="47">
        <f t="shared" si="33"/>
        <v>1.7093931770928814</v>
      </c>
      <c r="R93" s="8"/>
      <c r="S93" s="32">
        <f t="shared" ref="S93:S94" si="37">+O93*Q93</f>
        <v>882388.75801534543</v>
      </c>
      <c r="T93" s="32"/>
      <c r="U93" s="32">
        <f t="shared" si="34"/>
        <v>34084.957004124997</v>
      </c>
      <c r="V93" s="41">
        <f t="shared" si="35"/>
        <v>4.0180130000000036E-2</v>
      </c>
    </row>
    <row r="94" spans="1:22" ht="16.5" x14ac:dyDescent="0.35">
      <c r="A94" s="59" t="s">
        <v>287</v>
      </c>
      <c r="B94" s="59" t="s">
        <v>598</v>
      </c>
      <c r="D94" s="57">
        <v>22</v>
      </c>
      <c r="E94" s="8" t="s">
        <v>770</v>
      </c>
      <c r="F94" s="8"/>
      <c r="G94" s="8"/>
      <c r="H94" s="104">
        <f>+INDEX('2025 Billing Determinants'!B:B,MATCH('2027 GSLDSU Rate Class E-13c'!A94,'2025 Billing Determinants'!A:A,0))</f>
        <v>482200</v>
      </c>
      <c r="I94" s="32" t="s">
        <v>731</v>
      </c>
      <c r="J94" s="47">
        <f>+INDEX('2026 Base Rates'!E:E,MATCH('2027 GSLDSU Rate Class E-13c'!B94,'2026 Base Rates'!D:D,0))</f>
        <v>11.885329887875928</v>
      </c>
      <c r="K94" s="76"/>
      <c r="L94" s="32">
        <f t="shared" si="36"/>
        <v>5731106.0719337724</v>
      </c>
      <c r="M94" s="8"/>
      <c r="N94" s="57"/>
      <c r="O94" s="105">
        <f>+INDEX('2025 Billing Determinants'!B:B,MATCH('2027 GSLDSU Rate Class E-13c'!A94,'2025 Billing Determinants'!A:A,0))</f>
        <v>482200</v>
      </c>
      <c r="P94" s="32" t="s">
        <v>731</v>
      </c>
      <c r="Q94" s="47">
        <f t="shared" si="33"/>
        <v>12.362883987863668</v>
      </c>
      <c r="R94" s="8"/>
      <c r="S94" s="32">
        <f t="shared" si="37"/>
        <v>5961382.6589478608</v>
      </c>
      <c r="T94" s="8"/>
      <c r="U94" s="32">
        <f t="shared" si="34"/>
        <v>230276.58701408841</v>
      </c>
      <c r="V94" s="41">
        <f t="shared" si="35"/>
        <v>4.0180130000000015E-2</v>
      </c>
    </row>
    <row r="95" spans="1:22" x14ac:dyDescent="0.25">
      <c r="A95" s="59"/>
      <c r="B95" s="59"/>
      <c r="D95" s="57">
        <v>23</v>
      </c>
      <c r="E95" s="8" t="s">
        <v>335</v>
      </c>
      <c r="F95" s="8"/>
      <c r="G95" s="8"/>
      <c r="H95" s="33">
        <f>+SUM(H92:H93)</f>
        <v>516200</v>
      </c>
      <c r="I95" s="32"/>
      <c r="J95" s="39"/>
      <c r="K95" s="76"/>
      <c r="L95" s="101">
        <f>+SUM(L92:L94)</f>
        <v>6579409.872944993</v>
      </c>
      <c r="M95" s="8"/>
      <c r="N95" s="57"/>
      <c r="O95" s="33">
        <f>+SUM(O92:O93)</f>
        <v>516200</v>
      </c>
      <c r="P95" s="32"/>
      <c r="Q95" s="39"/>
      <c r="R95" s="8"/>
      <c r="S95" s="101">
        <f>+SUM(S92:S94)</f>
        <v>6843771.4169632066</v>
      </c>
      <c r="T95" s="8"/>
      <c r="U95" s="32">
        <f t="shared" si="34"/>
        <v>264361.54401821364</v>
      </c>
      <c r="V95" s="41">
        <f t="shared" si="35"/>
        <v>4.018013000000005E-2</v>
      </c>
    </row>
    <row r="96" spans="1:22" x14ac:dyDescent="0.25">
      <c r="A96" s="59"/>
      <c r="B96" s="59"/>
      <c r="D96" s="57">
        <v>24</v>
      </c>
      <c r="E96" s="8"/>
      <c r="F96" s="8"/>
      <c r="G96" s="8"/>
      <c r="H96" s="32"/>
      <c r="I96" s="32"/>
      <c r="J96" s="39"/>
      <c r="K96" s="76"/>
      <c r="L96" s="32"/>
      <c r="M96" s="8"/>
      <c r="N96" s="57"/>
      <c r="O96" s="32"/>
      <c r="P96" s="32"/>
      <c r="Q96" s="39"/>
      <c r="R96" s="8"/>
      <c r="S96" s="32"/>
      <c r="T96" s="8"/>
      <c r="U96" s="8"/>
      <c r="V96" s="43"/>
    </row>
    <row r="97" spans="1:22" x14ac:dyDescent="0.25">
      <c r="A97" s="59"/>
      <c r="B97" s="59"/>
      <c r="D97" s="57">
        <v>25</v>
      </c>
      <c r="E97" s="71" t="s">
        <v>418</v>
      </c>
      <c r="F97" s="8"/>
      <c r="G97" s="8"/>
      <c r="H97" s="8"/>
      <c r="I97" s="8"/>
      <c r="J97" s="8"/>
      <c r="K97" s="8"/>
      <c r="L97" s="33"/>
      <c r="M97" s="8"/>
      <c r="N97" s="57"/>
      <c r="O97" s="8"/>
      <c r="P97" s="8"/>
      <c r="Q97" s="8"/>
      <c r="R97" s="8"/>
      <c r="S97" s="33"/>
      <c r="T97" s="8"/>
      <c r="U97" s="8"/>
      <c r="V97" s="8"/>
    </row>
    <row r="98" spans="1:22" x14ac:dyDescent="0.25">
      <c r="A98" s="59" t="s">
        <v>257</v>
      </c>
      <c r="B98" s="59" t="s">
        <v>595</v>
      </c>
      <c r="D98" s="57">
        <v>26</v>
      </c>
      <c r="E98" s="71" t="s">
        <v>939</v>
      </c>
      <c r="F98" s="8"/>
      <c r="G98" s="8"/>
      <c r="H98" s="8">
        <f>+INDEX('2025 Billing Determinants'!B:B,MATCH('2027 GSLDSU Rate Class E-13c'!A98,'2025 Billing Determinants'!A:A,0))</f>
        <v>0</v>
      </c>
      <c r="I98" s="8" t="s">
        <v>729</v>
      </c>
      <c r="J98" s="47">
        <f>+INDEX('2026 Base Rates'!E:E,MATCH('2027 GSLDSU Rate Class E-13c'!B98,'2026 Base Rates'!D:D,0))</f>
        <v>1.3777686881196956</v>
      </c>
      <c r="K98" s="8"/>
      <c r="L98" s="33">
        <f>+H98*J98</f>
        <v>0</v>
      </c>
      <c r="M98" s="8"/>
      <c r="N98" s="57"/>
      <c r="O98" s="8">
        <f>+INDEX('2025 Billing Determinants'!B:B,MATCH('2027 GSLDSU Rate Class E-13c'!A98,'2025 Billing Determinants'!A:A,0))</f>
        <v>0</v>
      </c>
      <c r="P98" s="8" t="s">
        <v>729</v>
      </c>
      <c r="Q98" s="47">
        <f t="shared" ref="Q98:Q103" si="38">+J98*(1+$B$7)</f>
        <v>1.4331276131182744</v>
      </c>
      <c r="R98" s="8"/>
      <c r="S98" s="33">
        <f>+O98*Q98</f>
        <v>0</v>
      </c>
      <c r="T98" s="8"/>
      <c r="U98" s="32">
        <f t="shared" ref="U98:U104" si="39">+S98-L98</f>
        <v>0</v>
      </c>
      <c r="V98" s="41">
        <f t="shared" ref="V98:V104" si="40">+IF(U98=0,0,(S98-L98)/L98)</f>
        <v>0</v>
      </c>
    </row>
    <row r="99" spans="1:22" x14ac:dyDescent="0.25">
      <c r="A99" s="59" t="s">
        <v>258</v>
      </c>
      <c r="B99" s="59" t="s">
        <v>596</v>
      </c>
      <c r="D99" s="57">
        <v>27</v>
      </c>
      <c r="E99" s="71" t="s">
        <v>940</v>
      </c>
      <c r="F99" s="8"/>
      <c r="G99" s="8"/>
      <c r="H99" s="8">
        <f>+INDEX('2025 Billing Determinants'!B:B,MATCH('2027 GSLDSU Rate Class E-13c'!A99,'2025 Billing Determinants'!A:A,0))</f>
        <v>0</v>
      </c>
      <c r="I99" s="8" t="s">
        <v>755</v>
      </c>
      <c r="J99" s="47">
        <f>+INDEX('2026 Base Rates'!E:E,MATCH('2027 GSLDSU Rate Class E-13c'!B99,'2026 Base Rates'!D:D,0))</f>
        <v>1.6267630293461466</v>
      </c>
      <c r="K99" s="8" t="s">
        <v>756</v>
      </c>
      <c r="L99" s="33">
        <f t="shared" ref="L99:L103" si="41">+H99*J99</f>
        <v>0</v>
      </c>
      <c r="M99" s="8"/>
      <c r="N99" s="57"/>
      <c r="O99" s="8">
        <f>+INDEX('2025 Billing Determinants'!B:B,MATCH('2027 GSLDSU Rate Class E-13c'!A99,'2025 Billing Determinants'!A:A,0))</f>
        <v>0</v>
      </c>
      <c r="P99" s="8" t="s">
        <v>755</v>
      </c>
      <c r="Q99" s="47">
        <f t="shared" si="38"/>
        <v>1.6921265793444686</v>
      </c>
      <c r="R99" s="8"/>
      <c r="S99" s="33">
        <f t="shared" ref="S99:S103" si="42">+O99*Q99</f>
        <v>0</v>
      </c>
      <c r="T99" s="8"/>
      <c r="U99" s="32">
        <f t="shared" si="39"/>
        <v>0</v>
      </c>
      <c r="V99" s="41">
        <f t="shared" si="40"/>
        <v>0</v>
      </c>
    </row>
    <row r="100" spans="1:22" x14ac:dyDescent="0.25">
      <c r="A100" s="59" t="s">
        <v>259</v>
      </c>
      <c r="B100" s="59" t="s">
        <v>599</v>
      </c>
      <c r="D100" s="57">
        <v>28</v>
      </c>
      <c r="E100" s="71" t="s">
        <v>941</v>
      </c>
      <c r="F100" s="8"/>
      <c r="G100" s="8"/>
      <c r="H100" s="8">
        <f>+INDEX('2025 Billing Determinants'!B:B,MATCH('2027 GSLDSU Rate Class E-13c'!A100,'2025 Billing Determinants'!A:A,0))</f>
        <v>0</v>
      </c>
      <c r="I100" s="8" t="s">
        <v>755</v>
      </c>
      <c r="J100" s="47">
        <f>+INDEX('2026 Base Rates'!E:E,MATCH('2027 GSLDSU Rate Class E-13c'!B100,'2026 Base Rates'!D:D,0))</f>
        <v>0.64738528718877264</v>
      </c>
      <c r="K100" s="8" t="s">
        <v>758</v>
      </c>
      <c r="L100" s="33">
        <f t="shared" si="41"/>
        <v>0</v>
      </c>
      <c r="M100" s="8"/>
      <c r="N100" s="57"/>
      <c r="O100" s="8">
        <f>+INDEX('2025 Billing Determinants'!B:B,MATCH('2027 GSLDSU Rate Class E-13c'!A100,'2025 Billing Determinants'!A:A,0))</f>
        <v>0</v>
      </c>
      <c r="P100" s="8" t="s">
        <v>755</v>
      </c>
      <c r="Q100" s="47">
        <f t="shared" si="38"/>
        <v>0.67339731218810484</v>
      </c>
      <c r="R100" s="8"/>
      <c r="S100" s="33">
        <f t="shared" si="42"/>
        <v>0</v>
      </c>
      <c r="T100" s="8"/>
      <c r="U100" s="32">
        <f t="shared" si="39"/>
        <v>0</v>
      </c>
      <c r="V100" s="41">
        <f t="shared" si="40"/>
        <v>0</v>
      </c>
    </row>
    <row r="101" spans="1:22" x14ac:dyDescent="0.25">
      <c r="A101" s="59" t="s">
        <v>291</v>
      </c>
      <c r="B101" s="59" t="s">
        <v>600</v>
      </c>
      <c r="D101" s="57">
        <v>29</v>
      </c>
      <c r="E101" s="193" t="s">
        <v>794</v>
      </c>
      <c r="F101" s="8"/>
      <c r="G101" s="8"/>
      <c r="H101" s="33">
        <f>+INDEX('2025 Billing Determinants'!B:B,MATCH('2027 GSLDSU Rate Class E-13c'!A101,'2025 Billing Determinants'!A:A,0))</f>
        <v>1691241.73</v>
      </c>
      <c r="I101" s="32" t="s">
        <v>729</v>
      </c>
      <c r="J101" s="47">
        <f>+INDEX('2026 Base Rates'!E:E,MATCH('2027 GSLDSU Rate Class E-13c'!B101,'2026 Base Rates'!D:D,0))</f>
        <v>1.3777686881196956</v>
      </c>
      <c r="K101" s="76"/>
      <c r="L101" s="32">
        <f t="shared" si="41"/>
        <v>2330139.8996353843</v>
      </c>
      <c r="M101" s="8"/>
      <c r="N101" s="57"/>
      <c r="O101" s="33">
        <f>+INDEX('2025 Billing Determinants'!B:B,MATCH('2027 GSLDSU Rate Class E-13c'!A101,'2025 Billing Determinants'!A:A,0))</f>
        <v>1691241.73</v>
      </c>
      <c r="P101" s="32" t="s">
        <v>729</v>
      </c>
      <c r="Q101" s="47">
        <f t="shared" si="38"/>
        <v>1.4331276131182744</v>
      </c>
      <c r="R101" s="76"/>
      <c r="S101" s="32">
        <f t="shared" si="42"/>
        <v>2423765.2237209212</v>
      </c>
      <c r="T101" s="32"/>
      <c r="U101" s="32">
        <f t="shared" si="39"/>
        <v>93625.324085536879</v>
      </c>
      <c r="V101" s="41">
        <f t="shared" si="40"/>
        <v>4.0180130000000078E-2</v>
      </c>
    </row>
    <row r="102" spans="1:22" x14ac:dyDescent="0.25">
      <c r="A102" s="59" t="s">
        <v>292</v>
      </c>
      <c r="B102" s="59" t="s">
        <v>601</v>
      </c>
      <c r="D102" s="57">
        <v>30</v>
      </c>
      <c r="E102" s="193" t="s">
        <v>796</v>
      </c>
      <c r="F102" s="35"/>
      <c r="G102" s="8"/>
      <c r="H102" s="33">
        <f>+INDEX('2025 Billing Determinants'!B:B,MATCH('2027 GSLDSU Rate Class E-13c'!A102,'2025 Billing Determinants'!A:A,0))</f>
        <v>355048.34</v>
      </c>
      <c r="I102" s="32" t="s">
        <v>755</v>
      </c>
      <c r="J102" s="47">
        <f>+INDEX('2026 Base Rates'!E:E,MATCH('2027 GSLDSU Rate Class E-13c'!B102,'2026 Base Rates'!D:D,0))</f>
        <v>1.6267630293461466</v>
      </c>
      <c r="K102" s="76" t="s">
        <v>756</v>
      </c>
      <c r="L102" s="32">
        <f t="shared" si="41"/>
        <v>577579.51314272068</v>
      </c>
      <c r="M102" s="32"/>
      <c r="N102" s="42"/>
      <c r="O102" s="33">
        <f>+INDEX('2025 Billing Determinants'!B:B,MATCH('2027 GSLDSU Rate Class E-13c'!A102,'2025 Billing Determinants'!A:A,0))</f>
        <v>355048.34</v>
      </c>
      <c r="P102" s="32" t="s">
        <v>755</v>
      </c>
      <c r="Q102" s="47">
        <f t="shared" si="38"/>
        <v>1.6921265793444686</v>
      </c>
      <c r="R102" s="76" t="s">
        <v>761</v>
      </c>
      <c r="S102" s="32">
        <f t="shared" si="42"/>
        <v>600786.73306613194</v>
      </c>
      <c r="T102" s="32"/>
      <c r="U102" s="32">
        <f t="shared" si="39"/>
        <v>23207.219923411263</v>
      </c>
      <c r="V102" s="41">
        <f t="shared" si="40"/>
        <v>4.0180130000000064E-2</v>
      </c>
    </row>
    <row r="103" spans="1:22" x14ac:dyDescent="0.25">
      <c r="A103" s="59" t="s">
        <v>293</v>
      </c>
      <c r="B103" s="59" t="s">
        <v>602</v>
      </c>
      <c r="D103" s="57">
        <v>31</v>
      </c>
      <c r="E103" s="193" t="s">
        <v>798</v>
      </c>
      <c r="F103" s="8"/>
      <c r="G103" s="8"/>
      <c r="H103" s="100">
        <f>+INDEX('2025 Billing Determinants'!B:B,MATCH('2027 GSLDSU Rate Class E-13c'!A103,'2025 Billing Determinants'!A:A,0))</f>
        <v>8856414.7300000004</v>
      </c>
      <c r="I103" s="32" t="s">
        <v>755</v>
      </c>
      <c r="J103" s="47">
        <f>+INDEX('2026 Base Rates'!E:E,MATCH('2027 GSLDSU Rate Class E-13c'!B103,'2026 Base Rates'!D:D,0))</f>
        <v>0.64738528718877264</v>
      </c>
      <c r="K103" s="76" t="s">
        <v>758</v>
      </c>
      <c r="L103" s="32">
        <f t="shared" si="41"/>
        <v>5733512.5934439264</v>
      </c>
      <c r="M103" s="8"/>
      <c r="N103" s="57"/>
      <c r="O103" s="100">
        <f>+INDEX('2025 Billing Determinants'!B:B,MATCH('2027 GSLDSU Rate Class E-13c'!A103,'2025 Billing Determinants'!A:A,0))</f>
        <v>8856414.7300000004</v>
      </c>
      <c r="P103" s="32" t="s">
        <v>755</v>
      </c>
      <c r="Q103" s="47">
        <f t="shared" si="38"/>
        <v>0.67339731218810484</v>
      </c>
      <c r="R103" s="76" t="s">
        <v>763</v>
      </c>
      <c r="S103" s="32">
        <f t="shared" si="42"/>
        <v>5963885.8748051403</v>
      </c>
      <c r="T103" s="8"/>
      <c r="U103" s="32">
        <f t="shared" si="39"/>
        <v>230373.28136121389</v>
      </c>
      <c r="V103" s="41">
        <f t="shared" si="40"/>
        <v>4.018012999999996E-2</v>
      </c>
    </row>
    <row r="104" spans="1:22" x14ac:dyDescent="0.25">
      <c r="A104" s="59"/>
      <c r="B104" s="59"/>
      <c r="D104" s="57">
        <v>32</v>
      </c>
      <c r="E104" s="31" t="s">
        <v>747</v>
      </c>
      <c r="F104" s="35"/>
      <c r="G104" s="8"/>
      <c r="H104" s="32">
        <f>+SUM(H98,H101)</f>
        <v>1691241.73</v>
      </c>
      <c r="I104" s="32" t="s">
        <v>729</v>
      </c>
      <c r="J104" s="39"/>
      <c r="K104" s="32"/>
      <c r="L104" s="101">
        <f>+SUM(L98:L103)</f>
        <v>8641232.006222032</v>
      </c>
      <c r="M104" s="32"/>
      <c r="N104" s="42"/>
      <c r="O104" s="32">
        <f>+SUM(O98,O101)</f>
        <v>1691241.73</v>
      </c>
      <c r="P104" s="32" t="s">
        <v>729</v>
      </c>
      <c r="Q104" s="39"/>
      <c r="R104" s="32"/>
      <c r="S104" s="101">
        <f>+SUM(S98:S103)</f>
        <v>8988437.8315921929</v>
      </c>
      <c r="T104" s="8"/>
      <c r="U104" s="32">
        <f t="shared" si="39"/>
        <v>347205.82537016086</v>
      </c>
      <c r="V104" s="41">
        <f t="shared" si="40"/>
        <v>4.0180129999999863E-2</v>
      </c>
    </row>
    <row r="105" spans="1:22" x14ac:dyDescent="0.25">
      <c r="A105" s="59"/>
      <c r="B105" s="59"/>
      <c r="D105" s="57">
        <v>34</v>
      </c>
      <c r="E105" s="8"/>
      <c r="F105" s="8"/>
      <c r="G105" s="8"/>
      <c r="H105" s="8"/>
      <c r="I105" s="8"/>
      <c r="J105" s="8"/>
      <c r="K105" s="8"/>
      <c r="L105" s="33"/>
      <c r="M105" s="8"/>
      <c r="N105" s="57"/>
      <c r="O105" s="8"/>
      <c r="P105" s="8"/>
      <c r="Q105" s="8"/>
      <c r="R105" s="8"/>
      <c r="S105" s="33"/>
      <c r="T105" s="8"/>
      <c r="U105" s="8"/>
      <c r="V105" s="8"/>
    </row>
    <row r="106" spans="1:22" x14ac:dyDescent="0.25">
      <c r="A106" s="59"/>
      <c r="B106" s="59"/>
      <c r="D106" s="57">
        <v>35</v>
      </c>
      <c r="E106" s="31" t="s">
        <v>764</v>
      </c>
      <c r="F106" s="8"/>
      <c r="G106" s="8"/>
      <c r="H106" s="8"/>
      <c r="I106" s="8"/>
      <c r="J106" s="8"/>
      <c r="K106" s="8"/>
      <c r="L106" s="33"/>
      <c r="M106" s="8"/>
      <c r="N106" s="57"/>
      <c r="O106" s="8"/>
      <c r="P106" s="8"/>
      <c r="Q106" s="8"/>
      <c r="R106" s="8"/>
      <c r="S106" s="33"/>
      <c r="T106" s="8"/>
      <c r="U106" s="8"/>
      <c r="V106" s="8"/>
    </row>
    <row r="107" spans="1:22" x14ac:dyDescent="0.25">
      <c r="A107" s="59" t="s">
        <v>252</v>
      </c>
      <c r="B107" s="59" t="s">
        <v>603</v>
      </c>
      <c r="D107" s="57">
        <v>36</v>
      </c>
      <c r="E107" s="193" t="s">
        <v>768</v>
      </c>
      <c r="F107" s="8"/>
      <c r="G107" s="8"/>
      <c r="H107" s="8">
        <f>+INDEX('2025 Billing Determinants'!B:B,MATCH('2027 GSLDSU Rate Class E-13c'!A107,'2025 Billing Determinants'!A:A,0))</f>
        <v>0</v>
      </c>
      <c r="I107" s="8" t="s">
        <v>839</v>
      </c>
      <c r="J107" s="106">
        <f>+INDEX('2026 Base Rates'!E:E,MATCH('2027 GSLDSU Rate Class E-13c'!B107,'2026 Base Rates'!D:D,0))</f>
        <v>2.1503455751765129E-3</v>
      </c>
      <c r="K107" s="8"/>
      <c r="L107" s="33">
        <f>+H107*J107</f>
        <v>0</v>
      </c>
      <c r="M107" s="8"/>
      <c r="N107" s="57"/>
      <c r="O107" s="8">
        <f>+INDEX('2025 Billing Determinants'!B:B,MATCH('2027 GSLDSU Rate Class E-13c'!A107,'2025 Billing Determinants'!A:A,0))</f>
        <v>0</v>
      </c>
      <c r="P107" s="8" t="s">
        <v>839</v>
      </c>
      <c r="Q107" s="106">
        <f t="shared" ref="Q107:Q108" si="43">+J107*(1+$B$7)</f>
        <v>2.2367467399320301E-3</v>
      </c>
      <c r="R107" s="8"/>
      <c r="S107" s="33">
        <f>+O107*Q107</f>
        <v>0</v>
      </c>
      <c r="T107" s="8"/>
      <c r="U107" s="32">
        <f t="shared" ref="U107:U109" si="44">+S107-L107</f>
        <v>0</v>
      </c>
      <c r="V107" s="41">
        <f t="shared" ref="V107:V109" si="45">+IF(U107=0,0,(S107-L107)/L107)</f>
        <v>0</v>
      </c>
    </row>
    <row r="108" spans="1:22" ht="16.5" x14ac:dyDescent="0.35">
      <c r="A108" s="59" t="s">
        <v>281</v>
      </c>
      <c r="B108" s="59" t="s">
        <v>604</v>
      </c>
      <c r="D108" s="57">
        <v>37</v>
      </c>
      <c r="E108" s="8" t="s">
        <v>935</v>
      </c>
      <c r="F108" s="8"/>
      <c r="G108" s="8"/>
      <c r="H108" s="104">
        <f>+INDEX('2025 Billing Determinants'!B:B,MATCH('2027 GSLDSU Rate Class E-13c'!A108,'2025 Billing Determinants'!A:A,0))</f>
        <v>32205802</v>
      </c>
      <c r="I108" s="8" t="s">
        <v>839</v>
      </c>
      <c r="J108" s="106">
        <f>+INDEX('2026 Base Rates'!E:E,MATCH('2027 GSLDSU Rate Class E-13c'!B108,'2026 Base Rates'!D:D,0))</f>
        <v>2.1503455751765129E-3</v>
      </c>
      <c r="K108" s="8"/>
      <c r="L108" s="33">
        <f>+H108*J108</f>
        <v>69253.603825710888</v>
      </c>
      <c r="M108" s="8"/>
      <c r="N108" s="57"/>
      <c r="O108" s="104">
        <f>+INDEX('2025 Billing Determinants'!B:B,MATCH('2027 GSLDSU Rate Class E-13c'!A108,'2025 Billing Determinants'!A:A,0))</f>
        <v>32205802</v>
      </c>
      <c r="P108" s="8" t="s">
        <v>839</v>
      </c>
      <c r="Q108" s="106">
        <f t="shared" si="43"/>
        <v>2.2367467399320301E-3</v>
      </c>
      <c r="R108" s="8"/>
      <c r="S108" s="33">
        <f>+O108*Q108</f>
        <v>72036.222630396456</v>
      </c>
      <c r="T108" s="8"/>
      <c r="U108" s="32">
        <f t="shared" si="44"/>
        <v>2782.6188046855677</v>
      </c>
      <c r="V108" s="41">
        <f t="shared" si="45"/>
        <v>4.0180130000000099E-2</v>
      </c>
    </row>
    <row r="109" spans="1:22" ht="15.75" thickBot="1" x14ac:dyDescent="0.3">
      <c r="A109" s="59"/>
      <c r="B109" s="59"/>
      <c r="D109" s="58">
        <v>38</v>
      </c>
      <c r="E109" s="9"/>
      <c r="F109" s="9" t="s">
        <v>335</v>
      </c>
      <c r="G109" s="9"/>
      <c r="H109" s="216">
        <f>+SUM(H107:H108)</f>
        <v>32205802</v>
      </c>
      <c r="I109" s="216"/>
      <c r="J109" s="216"/>
      <c r="K109" s="216"/>
      <c r="L109" s="216">
        <f>+SUM(L107:L108)</f>
        <v>69253.603825710888</v>
      </c>
      <c r="M109" s="216"/>
      <c r="N109" s="219"/>
      <c r="O109" s="216">
        <f>+SUM(O107:O108)</f>
        <v>32205802</v>
      </c>
      <c r="P109" s="216"/>
      <c r="Q109" s="216"/>
      <c r="R109" s="216"/>
      <c r="S109" s="216">
        <f>+SUM(S107:S108)</f>
        <v>72036.222630396456</v>
      </c>
      <c r="T109" s="216"/>
      <c r="U109" s="216">
        <f t="shared" si="44"/>
        <v>2782.6188046855677</v>
      </c>
      <c r="V109" s="220">
        <f t="shared" si="45"/>
        <v>4.0180130000000099E-2</v>
      </c>
    </row>
    <row r="110" spans="1:22" x14ac:dyDescent="0.25">
      <c r="A110" s="59"/>
      <c r="B110" s="59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57"/>
      <c r="O110" s="8"/>
      <c r="P110" s="8"/>
      <c r="Q110" s="8"/>
      <c r="R110" s="8"/>
      <c r="S110" s="8"/>
      <c r="T110" s="8"/>
      <c r="U110" s="8"/>
      <c r="V110" s="8" t="s">
        <v>304</v>
      </c>
    </row>
    <row r="111" spans="1:22" x14ac:dyDescent="0.25">
      <c r="A111" s="59"/>
      <c r="B111" s="59"/>
      <c r="D111" s="8"/>
      <c r="E111" s="8"/>
      <c r="F111" s="8"/>
      <c r="G111" s="8"/>
      <c r="H111" s="8"/>
      <c r="I111" s="8"/>
      <c r="J111" s="8"/>
      <c r="K111" s="378"/>
      <c r="L111" s="378"/>
      <c r="M111" s="378"/>
      <c r="N111" s="378"/>
      <c r="O111" s="378"/>
      <c r="P111" s="8"/>
      <c r="Q111" s="8"/>
      <c r="R111" s="8"/>
      <c r="S111" s="8"/>
      <c r="T111" s="8"/>
      <c r="U111" s="8"/>
      <c r="V111" s="8"/>
    </row>
    <row r="112" spans="1:22" ht="15.75" thickBot="1" x14ac:dyDescent="0.3">
      <c r="A112" s="59"/>
      <c r="B112" s="59"/>
      <c r="D112" s="9" t="s">
        <v>305</v>
      </c>
      <c r="E112" s="9"/>
      <c r="F112" s="9"/>
      <c r="G112" s="9"/>
      <c r="H112" s="9"/>
      <c r="I112" s="9"/>
      <c r="J112" s="9"/>
      <c r="K112" s="379" t="s">
        <v>306</v>
      </c>
      <c r="L112" s="379"/>
      <c r="M112" s="379"/>
      <c r="N112" s="379"/>
      <c r="O112" s="379"/>
      <c r="P112" s="9"/>
      <c r="Q112" s="9"/>
      <c r="R112" s="9"/>
      <c r="S112" s="9"/>
      <c r="T112" s="9"/>
      <c r="U112" s="9"/>
      <c r="V112" s="13" t="s">
        <v>888</v>
      </c>
    </row>
    <row r="113" spans="1:22" x14ac:dyDescent="0.25">
      <c r="A113" s="59"/>
      <c r="B113" s="59"/>
      <c r="D113" s="8" t="s">
        <v>307</v>
      </c>
      <c r="E113" s="8"/>
      <c r="F113" s="8"/>
      <c r="G113" s="8"/>
      <c r="H113" s="8" t="s">
        <v>308</v>
      </c>
      <c r="I113" s="8"/>
      <c r="J113" s="8" t="s">
        <v>910</v>
      </c>
      <c r="K113" s="8"/>
      <c r="L113" s="8"/>
      <c r="M113" s="8"/>
      <c r="N113" s="98"/>
      <c r="O113" s="99"/>
      <c r="P113" s="8"/>
      <c r="Q113" s="8"/>
      <c r="R113" s="99"/>
      <c r="S113" s="99" t="s">
        <v>309</v>
      </c>
      <c r="T113" s="8"/>
      <c r="U113" s="8"/>
      <c r="V113" s="10"/>
    </row>
    <row r="114" spans="1:22" x14ac:dyDescent="0.25">
      <c r="A114" s="59"/>
      <c r="B114" s="59"/>
      <c r="D114" s="8"/>
      <c r="E114" s="8"/>
      <c r="F114" s="8"/>
      <c r="G114" s="8"/>
      <c r="H114" s="8"/>
      <c r="I114" s="8"/>
      <c r="J114" s="8" t="s">
        <v>911</v>
      </c>
      <c r="K114" s="8"/>
      <c r="L114" s="8"/>
      <c r="M114" s="8"/>
      <c r="N114" s="57"/>
      <c r="O114" s="10"/>
      <c r="P114" s="8"/>
      <c r="Q114" s="8"/>
      <c r="R114" s="11"/>
      <c r="S114" s="11"/>
      <c r="T114" s="117" t="s">
        <v>916</v>
      </c>
      <c r="U114" s="116" t="s">
        <v>1512</v>
      </c>
      <c r="V114" s="11"/>
    </row>
    <row r="115" spans="1:22" x14ac:dyDescent="0.25">
      <c r="A115" s="59"/>
      <c r="B115" s="59"/>
      <c r="D115" s="8" t="s">
        <v>310</v>
      </c>
      <c r="E115" s="8"/>
      <c r="F115" s="8"/>
      <c r="G115" s="8"/>
      <c r="H115" s="8"/>
      <c r="I115" s="8"/>
      <c r="J115" s="8" t="s">
        <v>912</v>
      </c>
      <c r="K115" s="8"/>
      <c r="L115" s="8"/>
      <c r="M115" s="8"/>
      <c r="N115" s="57"/>
      <c r="O115" s="10"/>
      <c r="P115" s="11"/>
      <c r="Q115" s="8"/>
      <c r="R115" s="8"/>
      <c r="S115" s="11"/>
      <c r="T115" s="265"/>
      <c r="U115" s="116"/>
      <c r="V115" s="11"/>
    </row>
    <row r="116" spans="1:22" x14ac:dyDescent="0.25">
      <c r="A116" s="59"/>
      <c r="B116" s="59"/>
      <c r="D116" s="8"/>
      <c r="E116" s="8"/>
      <c r="F116" s="8"/>
      <c r="G116" s="8"/>
      <c r="H116" s="8"/>
      <c r="I116" s="8"/>
      <c r="J116" s="8" t="s">
        <v>913</v>
      </c>
      <c r="K116" s="8"/>
      <c r="L116" s="8"/>
      <c r="M116" s="8"/>
      <c r="N116" s="57"/>
      <c r="O116" s="10"/>
      <c r="P116" s="11"/>
      <c r="Q116" s="8"/>
      <c r="R116" s="8"/>
      <c r="S116" s="11"/>
      <c r="T116" s="265"/>
      <c r="U116" s="116"/>
      <c r="V116" s="11"/>
    </row>
    <row r="117" spans="1:22" x14ac:dyDescent="0.25">
      <c r="A117" s="59"/>
      <c r="B117" s="59"/>
      <c r="D117" s="8"/>
      <c r="E117" s="8"/>
      <c r="F117" s="11"/>
      <c r="G117" s="8"/>
      <c r="H117" s="8"/>
      <c r="I117" s="8"/>
      <c r="J117" s="8" t="s">
        <v>914</v>
      </c>
      <c r="K117" s="12"/>
      <c r="L117" s="12"/>
      <c r="M117" s="12"/>
      <c r="N117" s="57"/>
      <c r="O117" s="8"/>
      <c r="P117" s="8"/>
      <c r="Q117" s="8"/>
      <c r="R117" s="8"/>
      <c r="S117" s="8"/>
      <c r="T117" s="265"/>
      <c r="V117" s="8"/>
    </row>
    <row r="118" spans="1:22" ht="15.75" thickBot="1" x14ac:dyDescent="0.3">
      <c r="A118" s="59"/>
      <c r="B118" s="59"/>
      <c r="D118" s="9" t="s">
        <v>1292</v>
      </c>
      <c r="E118" s="9"/>
      <c r="F118" s="13"/>
      <c r="G118" s="14"/>
      <c r="H118" s="14"/>
      <c r="I118" s="14"/>
      <c r="J118" s="15" t="s">
        <v>915</v>
      </c>
      <c r="K118" s="14"/>
      <c r="L118" s="14"/>
      <c r="M118" s="14"/>
      <c r="N118" s="14"/>
      <c r="O118" s="14"/>
      <c r="P118" s="14"/>
      <c r="Q118" s="15"/>
      <c r="R118" s="14"/>
      <c r="S118" s="14"/>
      <c r="T118" s="14"/>
      <c r="U118" s="114" t="s">
        <v>1519</v>
      </c>
      <c r="V118" s="14"/>
    </row>
    <row r="119" spans="1:22" x14ac:dyDescent="0.25">
      <c r="A119" s="59"/>
      <c r="B119" s="59"/>
      <c r="D119" s="8"/>
      <c r="E119" s="8"/>
      <c r="F119" s="8"/>
      <c r="G119" s="8"/>
      <c r="H119" s="12"/>
      <c r="I119" s="8"/>
      <c r="J119" s="12"/>
      <c r="K119" s="16"/>
      <c r="L119" s="12"/>
      <c r="M119" s="8"/>
      <c r="N119" s="12"/>
      <c r="O119" s="8"/>
      <c r="P119" s="16"/>
      <c r="Q119" s="12"/>
      <c r="R119" s="8"/>
      <c r="S119" s="8"/>
      <c r="T119" s="8"/>
      <c r="U119" s="8"/>
      <c r="V119" s="8"/>
    </row>
    <row r="120" spans="1:22" x14ac:dyDescent="0.25">
      <c r="A120" s="59"/>
      <c r="B120" s="59"/>
      <c r="D120" s="8"/>
      <c r="E120" s="8"/>
      <c r="F120" s="8"/>
      <c r="G120" s="8"/>
      <c r="H120" s="16"/>
      <c r="I120" s="8"/>
      <c r="J120" s="8"/>
      <c r="K120" s="16"/>
      <c r="L120" s="8"/>
      <c r="M120" s="8"/>
      <c r="N120" s="12"/>
      <c r="O120" s="8"/>
      <c r="P120" s="16"/>
      <c r="Q120" s="8"/>
      <c r="R120" s="8"/>
      <c r="S120" s="8"/>
      <c r="T120" s="8"/>
      <c r="U120" s="8"/>
      <c r="V120" s="8"/>
    </row>
    <row r="121" spans="1:22" x14ac:dyDescent="0.25">
      <c r="A121" s="59"/>
      <c r="B121" s="59"/>
      <c r="D121" s="8"/>
      <c r="E121" s="8"/>
      <c r="F121" s="8"/>
      <c r="G121" s="8"/>
      <c r="H121" s="8"/>
      <c r="I121" s="16"/>
      <c r="J121" s="16"/>
      <c r="K121" s="17"/>
      <c r="L121" s="17" t="s">
        <v>311</v>
      </c>
      <c r="M121" s="12"/>
      <c r="N121" s="18" t="s">
        <v>767</v>
      </c>
      <c r="O121" s="16"/>
      <c r="P121" s="8"/>
      <c r="Q121" s="16"/>
      <c r="R121" s="16"/>
      <c r="S121" s="16"/>
      <c r="T121" s="16"/>
      <c r="U121" s="16"/>
      <c r="V121" s="8"/>
    </row>
    <row r="122" spans="1:22" x14ac:dyDescent="0.25">
      <c r="A122" s="59"/>
      <c r="B122" s="59"/>
      <c r="D122" s="8"/>
      <c r="E122" s="8"/>
      <c r="F122" s="8"/>
      <c r="G122" s="8"/>
      <c r="H122" s="8"/>
      <c r="I122" s="16"/>
      <c r="J122" s="16"/>
      <c r="K122" s="16"/>
      <c r="L122" s="16"/>
      <c r="M122" s="16"/>
      <c r="N122" s="12"/>
      <c r="O122" s="16"/>
      <c r="P122" s="16"/>
      <c r="Q122" s="16"/>
      <c r="R122" s="16"/>
      <c r="S122" s="16"/>
      <c r="T122" s="16"/>
      <c r="U122" s="16"/>
      <c r="V122" s="16"/>
    </row>
    <row r="123" spans="1:22" x14ac:dyDescent="0.25">
      <c r="A123" s="59"/>
      <c r="B123" s="59"/>
      <c r="D123" s="57" t="s">
        <v>313</v>
      </c>
      <c r="E123" s="196" t="s">
        <v>314</v>
      </c>
      <c r="F123" s="20"/>
      <c r="G123" s="21"/>
      <c r="H123" s="22"/>
      <c r="I123" s="22"/>
      <c r="J123" s="23" t="s">
        <v>315</v>
      </c>
      <c r="K123" s="22"/>
      <c r="L123" s="22"/>
      <c r="M123" s="20"/>
      <c r="N123" s="24"/>
      <c r="O123" s="22"/>
      <c r="P123" s="23"/>
      <c r="Q123" s="23" t="s">
        <v>316</v>
      </c>
      <c r="R123" s="22"/>
      <c r="S123" s="22"/>
      <c r="T123" s="20"/>
      <c r="U123" s="25" t="s">
        <v>317</v>
      </c>
      <c r="V123" s="25" t="s">
        <v>318</v>
      </c>
    </row>
    <row r="124" spans="1:22" ht="15.75" thickBot="1" x14ac:dyDescent="0.3">
      <c r="A124" s="59"/>
      <c r="B124" s="59"/>
      <c r="D124" s="58" t="s">
        <v>319</v>
      </c>
      <c r="E124" s="192" t="s">
        <v>320</v>
      </c>
      <c r="F124" s="27"/>
      <c r="G124" s="9"/>
      <c r="H124" s="58" t="s">
        <v>321</v>
      </c>
      <c r="I124" s="28"/>
      <c r="J124" s="28" t="s">
        <v>322</v>
      </c>
      <c r="K124" s="28"/>
      <c r="L124" s="28" t="s">
        <v>323</v>
      </c>
      <c r="M124" s="28"/>
      <c r="N124" s="28"/>
      <c r="O124" s="28" t="s">
        <v>321</v>
      </c>
      <c r="P124" s="28"/>
      <c r="Q124" s="28" t="s">
        <v>322</v>
      </c>
      <c r="R124" s="28"/>
      <c r="S124" s="28" t="s">
        <v>323</v>
      </c>
      <c r="T124" s="27"/>
      <c r="U124" s="29" t="s">
        <v>324</v>
      </c>
      <c r="V124" s="29" t="s">
        <v>325</v>
      </c>
    </row>
    <row r="125" spans="1:22" x14ac:dyDescent="0.25">
      <c r="A125" s="59"/>
      <c r="B125" s="59"/>
      <c r="D125" s="57">
        <v>1</v>
      </c>
      <c r="E125" s="380" t="s">
        <v>841</v>
      </c>
      <c r="F125" s="380"/>
      <c r="G125" s="380"/>
      <c r="H125" s="8"/>
      <c r="I125" s="35"/>
      <c r="J125" s="35"/>
      <c r="K125" s="35"/>
      <c r="L125" s="35"/>
      <c r="M125" s="31"/>
      <c r="N125" s="24"/>
      <c r="O125" s="31"/>
      <c r="P125" s="35"/>
      <c r="Q125" s="35"/>
      <c r="R125" s="35"/>
      <c r="S125" s="35"/>
      <c r="T125" s="35"/>
      <c r="U125" s="35"/>
      <c r="V125" s="35"/>
    </row>
    <row r="126" spans="1:22" x14ac:dyDescent="0.25">
      <c r="A126" s="59"/>
      <c r="B126" s="59"/>
      <c r="D126" s="57">
        <v>2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x14ac:dyDescent="0.25">
      <c r="A127" s="59"/>
      <c r="B127" s="59"/>
      <c r="D127" s="57">
        <v>3</v>
      </c>
      <c r="E127" s="31" t="s">
        <v>765</v>
      </c>
      <c r="F127" s="8"/>
      <c r="G127" s="8"/>
      <c r="H127" s="8"/>
      <c r="I127" s="8"/>
      <c r="J127" s="8"/>
      <c r="K127" s="8"/>
      <c r="L127" s="33"/>
      <c r="M127" s="8"/>
      <c r="N127" s="57"/>
      <c r="O127" s="8"/>
      <c r="P127" s="8"/>
      <c r="Q127" s="8"/>
      <c r="R127" s="8"/>
      <c r="S127" s="33"/>
      <c r="T127" s="8"/>
      <c r="U127" s="8"/>
      <c r="V127" s="8"/>
    </row>
    <row r="128" spans="1:22" x14ac:dyDescent="0.25">
      <c r="A128" s="59" t="s">
        <v>253</v>
      </c>
      <c r="B128" s="59" t="s">
        <v>605</v>
      </c>
      <c r="D128" s="57">
        <v>4</v>
      </c>
      <c r="E128" s="193" t="s">
        <v>768</v>
      </c>
      <c r="F128" s="8"/>
      <c r="G128" s="8"/>
      <c r="H128" s="8">
        <f>+INDEX('2025 Billing Determinants'!B:B,MATCH('2027 GSLDSU Rate Class E-13c'!A128,'2025 Billing Determinants'!A:A,0))</f>
        <v>0</v>
      </c>
      <c r="I128" s="8" t="s">
        <v>839</v>
      </c>
      <c r="J128" s="106">
        <f>+INDEX('2026 Base Rates'!E:E,MATCH('2027 GSLDSU Rate Class E-13c'!B128,'2026 Base Rates'!D:D,0))</f>
        <v>-1.0804692052611049E-3</v>
      </c>
      <c r="K128" s="8"/>
      <c r="L128" s="33">
        <f>+H128*J128</f>
        <v>0</v>
      </c>
      <c r="M128" s="8"/>
      <c r="N128" s="57"/>
      <c r="O128" s="8">
        <f>+INDEX('2025 Billing Determinants'!B:B,MATCH('2027 GSLDSU Rate Class E-13c'!A128,'2025 Billing Determinants'!A:A,0))</f>
        <v>0</v>
      </c>
      <c r="P128" s="8" t="s">
        <v>839</v>
      </c>
      <c r="Q128" s="106">
        <f t="shared" ref="Q128:Q129" si="46">+J128*(1+$B$7)</f>
        <v>-1.1238825983894928E-3</v>
      </c>
      <c r="R128" s="8"/>
      <c r="S128" s="33">
        <f>+O128*Q128</f>
        <v>0</v>
      </c>
      <c r="T128" s="8"/>
      <c r="U128" s="32">
        <f t="shared" ref="U128:U130" si="47">+S128-L128</f>
        <v>0</v>
      </c>
      <c r="V128" s="41">
        <f t="shared" ref="V128:V130" si="48">+IF(U128=0,0,(S128-L128)/L128)</f>
        <v>0</v>
      </c>
    </row>
    <row r="129" spans="1:22" ht="16.5" x14ac:dyDescent="0.35">
      <c r="A129" s="59" t="s">
        <v>282</v>
      </c>
      <c r="B129" s="59" t="s">
        <v>606</v>
      </c>
      <c r="D129" s="57">
        <v>5</v>
      </c>
      <c r="E129" s="8" t="s">
        <v>935</v>
      </c>
      <c r="F129" s="8"/>
      <c r="G129" s="8"/>
      <c r="H129" s="104">
        <f>+INDEX('2025 Billing Determinants'!B:B,MATCH('2027 GSLDSU Rate Class E-13c'!A129,'2025 Billing Determinants'!A:A,0))</f>
        <v>117949</v>
      </c>
      <c r="I129" s="8" t="s">
        <v>839</v>
      </c>
      <c r="J129" s="106">
        <f>+INDEX('2026 Base Rates'!E:E,MATCH('2027 GSLDSU Rate Class E-13c'!B129,'2026 Base Rates'!D:D,0))</f>
        <v>-1.0804692052611049E-3</v>
      </c>
      <c r="K129" s="8"/>
      <c r="L129" s="33">
        <f>+H129*J129</f>
        <v>-127.44026229134207</v>
      </c>
      <c r="M129" s="8"/>
      <c r="N129" s="57"/>
      <c r="O129" s="104">
        <f>+INDEX('2025 Billing Determinants'!B:B,MATCH('2027 GSLDSU Rate Class E-13c'!A129,'2025 Billing Determinants'!A:A,0))</f>
        <v>117949</v>
      </c>
      <c r="P129" s="8" t="s">
        <v>839</v>
      </c>
      <c r="Q129" s="106">
        <f t="shared" si="46"/>
        <v>-1.1238825983894928E-3</v>
      </c>
      <c r="R129" s="8"/>
      <c r="S129" s="33">
        <f>+O129*Q129</f>
        <v>-132.56082859744228</v>
      </c>
      <c r="T129" s="8"/>
      <c r="U129" s="32">
        <f t="shared" si="47"/>
        <v>-5.1205663061002156</v>
      </c>
      <c r="V129" s="41">
        <f t="shared" si="48"/>
        <v>4.0180129999999946E-2</v>
      </c>
    </row>
    <row r="130" spans="1:22" x14ac:dyDescent="0.25">
      <c r="A130" s="59"/>
      <c r="B130" s="59"/>
      <c r="D130" s="57">
        <v>6</v>
      </c>
      <c r="E130" s="31" t="s">
        <v>747</v>
      </c>
      <c r="F130" s="31"/>
      <c r="G130" s="8"/>
      <c r="H130" s="33">
        <f>+SUM(H128:H129)</f>
        <v>117949</v>
      </c>
      <c r="I130" s="8" t="s">
        <v>839</v>
      </c>
      <c r="J130" s="8"/>
      <c r="K130" s="8"/>
      <c r="L130" s="101">
        <f>+SUM(L128:L129)</f>
        <v>-127.44026229134207</v>
      </c>
      <c r="M130" s="8"/>
      <c r="N130" s="57"/>
      <c r="O130" s="33">
        <f>+SUM(O128:O129)</f>
        <v>117949</v>
      </c>
      <c r="P130" s="8" t="s">
        <v>839</v>
      </c>
      <c r="Q130" s="8"/>
      <c r="R130" s="8"/>
      <c r="S130" s="101">
        <f>+SUM(S128:S129)</f>
        <v>-132.56082859744228</v>
      </c>
      <c r="T130" s="8"/>
      <c r="U130" s="32">
        <f t="shared" si="47"/>
        <v>-5.1205663061002156</v>
      </c>
      <c r="V130" s="41">
        <f t="shared" si="48"/>
        <v>4.0180129999999946E-2</v>
      </c>
    </row>
    <row r="131" spans="1:22" x14ac:dyDescent="0.25">
      <c r="A131" s="59"/>
      <c r="B131" s="59"/>
      <c r="D131" s="57">
        <v>7</v>
      </c>
      <c r="E131" s="8"/>
      <c r="F131" s="8"/>
      <c r="G131" s="8"/>
      <c r="H131" s="8"/>
      <c r="I131" s="8"/>
      <c r="J131" s="8"/>
      <c r="K131" s="8"/>
      <c r="L131" s="33"/>
      <c r="M131" s="8"/>
      <c r="N131" s="57"/>
      <c r="O131" s="8"/>
      <c r="P131" s="8"/>
      <c r="Q131" s="8"/>
      <c r="R131" s="8"/>
      <c r="S131" s="33"/>
      <c r="T131" s="8"/>
      <c r="U131" s="8"/>
      <c r="V131" s="8"/>
    </row>
    <row r="132" spans="1:22" x14ac:dyDescent="0.25">
      <c r="A132" s="59"/>
      <c r="B132" s="59"/>
      <c r="D132" s="57">
        <v>8</v>
      </c>
      <c r="E132" s="31" t="s">
        <v>766</v>
      </c>
      <c r="F132" s="8"/>
      <c r="G132" s="8"/>
      <c r="H132" s="49"/>
      <c r="I132" s="32"/>
      <c r="J132" s="32"/>
      <c r="K132" s="32"/>
      <c r="L132" s="32"/>
      <c r="M132" s="32"/>
      <c r="N132" s="42"/>
      <c r="O132" s="49"/>
      <c r="P132" s="32"/>
      <c r="Q132" s="32"/>
      <c r="R132" s="32"/>
      <c r="S132" s="32"/>
      <c r="T132" s="8"/>
      <c r="U132" s="8"/>
      <c r="V132" s="43"/>
    </row>
    <row r="133" spans="1:22" x14ac:dyDescent="0.25">
      <c r="A133" s="59" t="s">
        <v>250</v>
      </c>
      <c r="B133" s="59" t="s">
        <v>607</v>
      </c>
      <c r="D133" s="57">
        <v>9</v>
      </c>
      <c r="E133" s="193" t="s">
        <v>768</v>
      </c>
      <c r="F133" s="31"/>
      <c r="G133" s="8"/>
      <c r="H133" s="8">
        <f>+INDEX('2025 Billing Determinants'!B:B,MATCH('2027 GSLDSU Rate Class E-13c'!A133,'2025 Billing Determinants'!A:A,0))</f>
        <v>0</v>
      </c>
      <c r="I133" s="32" t="s">
        <v>729</v>
      </c>
      <c r="J133" s="47">
        <f>+INDEX('2026 Base Rates'!E:E,MATCH('2027 GSLDSU Rate Class E-13c'!B133,'2026 Base Rates'!D:D,0))</f>
        <v>1.0804692052611049</v>
      </c>
      <c r="K133" s="32"/>
      <c r="L133" s="32">
        <f>+H133*J133</f>
        <v>0</v>
      </c>
      <c r="M133" s="32"/>
      <c r="N133" s="42"/>
      <c r="O133" s="8">
        <f>+INDEX('2025 Billing Determinants'!B:B,MATCH('2027 GSLDSU Rate Class E-13c'!A133,'2025 Billing Determinants'!A:A,0))</f>
        <v>0</v>
      </c>
      <c r="P133" s="32" t="s">
        <v>729</v>
      </c>
      <c r="Q133" s="47">
        <f t="shared" ref="Q133:Q134" si="49">+J133*(1+$B$7)</f>
        <v>1.1238825983894927</v>
      </c>
      <c r="R133" s="32"/>
      <c r="S133" s="32">
        <f>+O133*Q133</f>
        <v>0</v>
      </c>
      <c r="T133" s="8"/>
      <c r="U133" s="32">
        <f t="shared" ref="U133:U135" si="50">+S133-L133</f>
        <v>0</v>
      </c>
      <c r="V133" s="41">
        <f t="shared" ref="V133:V135" si="51">+IF(U133=0,0,(S133-L133)/L133)</f>
        <v>0</v>
      </c>
    </row>
    <row r="134" spans="1:22" ht="16.5" x14ac:dyDescent="0.35">
      <c r="A134" s="59" t="s">
        <v>279</v>
      </c>
      <c r="B134" s="59" t="s">
        <v>608</v>
      </c>
      <c r="D134" s="57">
        <v>10</v>
      </c>
      <c r="E134" s="8" t="s">
        <v>935</v>
      </c>
      <c r="F134" s="8"/>
      <c r="G134" s="8"/>
      <c r="H134" s="206">
        <f>+INDEX('2025 Billing Determinants'!B:B,MATCH('2027 GSLDSU Rate Class E-13c'!A134,'2025 Billing Determinants'!A:A,0))</f>
        <v>0</v>
      </c>
      <c r="I134" s="32" t="s">
        <v>729</v>
      </c>
      <c r="J134" s="47">
        <f>+INDEX('2026 Base Rates'!E:E,MATCH('2027 GSLDSU Rate Class E-13c'!B134,'2026 Base Rates'!D:D,0))</f>
        <v>1.0804692052611049</v>
      </c>
      <c r="K134" s="32"/>
      <c r="L134" s="105">
        <f>+H134*J134</f>
        <v>0</v>
      </c>
      <c r="M134" s="32"/>
      <c r="N134" s="42"/>
      <c r="O134" s="206">
        <f>+INDEX('2025 Billing Determinants'!B:B,MATCH('2027 GSLDSU Rate Class E-13c'!A134,'2025 Billing Determinants'!A:A,0))</f>
        <v>0</v>
      </c>
      <c r="P134" s="32" t="s">
        <v>729</v>
      </c>
      <c r="Q134" s="47">
        <f t="shared" si="49"/>
        <v>1.1238825983894927</v>
      </c>
      <c r="R134" s="32"/>
      <c r="S134" s="105">
        <f>+O134*Q134</f>
        <v>0</v>
      </c>
      <c r="T134" s="8"/>
      <c r="U134" s="32">
        <f t="shared" si="50"/>
        <v>0</v>
      </c>
      <c r="V134" s="41">
        <f t="shared" si="51"/>
        <v>0</v>
      </c>
    </row>
    <row r="135" spans="1:22" x14ac:dyDescent="0.25">
      <c r="A135" s="59"/>
      <c r="B135" s="59"/>
      <c r="D135" s="57">
        <v>11</v>
      </c>
      <c r="E135" s="8" t="s">
        <v>335</v>
      </c>
      <c r="F135" s="8"/>
      <c r="G135" s="8"/>
      <c r="H135" s="8">
        <f>+SUM(H133:H134)</f>
        <v>0</v>
      </c>
      <c r="I135" s="8"/>
      <c r="J135" s="8"/>
      <c r="K135" s="8"/>
      <c r="L135" s="212">
        <f>+SUM(L133:L134)</f>
        <v>0</v>
      </c>
      <c r="M135" s="8"/>
      <c r="N135" s="57"/>
      <c r="O135" s="8">
        <f>+SUM(O133:O134)</f>
        <v>0</v>
      </c>
      <c r="P135" s="8"/>
      <c r="Q135" s="8"/>
      <c r="R135" s="8"/>
      <c r="S135" s="212">
        <f>+SUM(S133:S134)</f>
        <v>0</v>
      </c>
      <c r="T135" s="8"/>
      <c r="U135" s="32">
        <f t="shared" si="50"/>
        <v>0</v>
      </c>
      <c r="V135" s="41">
        <f t="shared" si="51"/>
        <v>0</v>
      </c>
    </row>
    <row r="136" spans="1:22" x14ac:dyDescent="0.25">
      <c r="A136" s="59"/>
      <c r="B136" s="59"/>
      <c r="D136" s="57">
        <v>12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43"/>
    </row>
    <row r="137" spans="1:22" x14ac:dyDescent="0.25">
      <c r="A137" s="59"/>
      <c r="B137" s="59"/>
      <c r="D137" s="57">
        <v>13</v>
      </c>
      <c r="E137" s="31"/>
      <c r="F137" s="31"/>
      <c r="G137" s="31"/>
      <c r="H137" s="8"/>
      <c r="I137" s="8"/>
      <c r="J137" s="8"/>
      <c r="K137" s="8"/>
      <c r="L137" s="33"/>
      <c r="M137" s="8"/>
      <c r="N137" s="57"/>
      <c r="O137" s="8"/>
      <c r="P137" s="8"/>
      <c r="Q137" s="8"/>
      <c r="R137" s="8"/>
      <c r="S137" s="33"/>
      <c r="T137" s="8"/>
      <c r="U137" s="8"/>
      <c r="V137" s="8"/>
    </row>
    <row r="138" spans="1:22" ht="15.75" thickBot="1" x14ac:dyDescent="0.3">
      <c r="A138" s="59"/>
      <c r="B138" s="59"/>
      <c r="D138" s="57">
        <v>14</v>
      </c>
      <c r="E138" s="31" t="s">
        <v>336</v>
      </c>
      <c r="F138" s="8"/>
      <c r="G138" s="8"/>
      <c r="H138" s="8"/>
      <c r="I138" s="8"/>
      <c r="J138" s="8"/>
      <c r="K138" s="8"/>
      <c r="L138" s="103">
        <f>+L75+L82+L89+L95+L104+L109+L130+L135</f>
        <v>21522484.263787687</v>
      </c>
      <c r="M138" s="32"/>
      <c r="N138" s="42"/>
      <c r="O138" s="32"/>
      <c r="P138" s="8"/>
      <c r="Q138" s="8"/>
      <c r="R138" s="8"/>
      <c r="S138" s="103">
        <f>+S75+S82+S89+S95+S104+S109+S130+S135</f>
        <v>22387260.479429632</v>
      </c>
      <c r="T138" s="8"/>
      <c r="U138" s="32">
        <f t="shared" ref="U138" si="52">+S138-L138</f>
        <v>864776.2156419456</v>
      </c>
      <c r="V138" s="41">
        <f t="shared" ref="V138" si="53">+IF(U138=0,0,(S138-L138)/L138)</f>
        <v>4.0180130000000099E-2</v>
      </c>
    </row>
    <row r="139" spans="1:22" ht="15.75" thickTop="1" x14ac:dyDescent="0.25">
      <c r="A139" s="59"/>
      <c r="B139" s="59"/>
      <c r="D139" s="57">
        <v>15</v>
      </c>
      <c r="E139" s="31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x14ac:dyDescent="0.25">
      <c r="A140" s="59"/>
      <c r="B140" s="59"/>
      <c r="D140" s="57">
        <v>16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x14ac:dyDescent="0.25">
      <c r="A141" s="59"/>
      <c r="B141" s="59"/>
      <c r="D141" s="57">
        <v>17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x14ac:dyDescent="0.25">
      <c r="A142" s="59"/>
      <c r="B142" s="59"/>
      <c r="D142" s="57">
        <v>18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x14ac:dyDescent="0.25">
      <c r="A143" s="59"/>
      <c r="B143" s="59"/>
      <c r="D143" s="57">
        <v>19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x14ac:dyDescent="0.25">
      <c r="A144" s="59"/>
      <c r="B144" s="59"/>
      <c r="D144" s="57">
        <v>20</v>
      </c>
    </row>
    <row r="145" spans="1:22" x14ac:dyDescent="0.25">
      <c r="A145" s="59"/>
      <c r="B145" s="59"/>
      <c r="D145" s="57">
        <v>21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x14ac:dyDescent="0.25">
      <c r="A146" s="59"/>
      <c r="B146" s="59"/>
      <c r="D146" s="57">
        <v>22</v>
      </c>
      <c r="E146" s="8"/>
      <c r="F146" s="8"/>
      <c r="G146" s="8"/>
      <c r="H146" s="49"/>
      <c r="I146" s="8"/>
      <c r="J146" s="8"/>
      <c r="K146" s="8"/>
      <c r="L146" s="49"/>
      <c r="M146" s="8"/>
      <c r="N146" s="57"/>
      <c r="O146" s="49"/>
      <c r="P146" s="8"/>
      <c r="Q146" s="8"/>
      <c r="R146" s="8"/>
      <c r="S146" s="8"/>
      <c r="T146" s="8"/>
      <c r="U146" s="8"/>
      <c r="V146" s="43"/>
    </row>
    <row r="147" spans="1:22" x14ac:dyDescent="0.25">
      <c r="A147" s="59"/>
      <c r="B147" s="59"/>
      <c r="D147" s="57">
        <v>23</v>
      </c>
      <c r="E147" s="8"/>
      <c r="F147" s="8"/>
      <c r="G147" s="8"/>
      <c r="H147" s="49"/>
      <c r="I147" s="8"/>
      <c r="J147" s="8"/>
      <c r="K147" s="8"/>
      <c r="L147" s="49"/>
      <c r="M147" s="8"/>
      <c r="N147" s="57"/>
      <c r="O147" s="49"/>
      <c r="P147" s="8"/>
      <c r="Q147" s="8"/>
      <c r="R147" s="8"/>
      <c r="S147" s="8"/>
      <c r="T147" s="8"/>
      <c r="U147" s="8"/>
      <c r="V147" s="43"/>
    </row>
    <row r="148" spans="1:22" x14ac:dyDescent="0.25">
      <c r="A148" s="59"/>
      <c r="B148" s="59"/>
      <c r="D148" s="57">
        <v>24</v>
      </c>
      <c r="E148" s="8"/>
      <c r="F148" s="8"/>
      <c r="G148" s="8"/>
      <c r="H148" s="49"/>
      <c r="I148" s="8"/>
      <c r="J148" s="8"/>
      <c r="K148" s="8"/>
      <c r="L148" s="49"/>
      <c r="M148" s="8"/>
      <c r="N148" s="57"/>
      <c r="O148" s="49"/>
      <c r="P148" s="8"/>
      <c r="Q148" s="8"/>
      <c r="R148" s="8"/>
      <c r="S148" s="8"/>
      <c r="T148" s="8"/>
      <c r="U148" s="8"/>
      <c r="V148" s="43"/>
    </row>
    <row r="149" spans="1:22" x14ac:dyDescent="0.25">
      <c r="A149" s="59"/>
      <c r="B149" s="59"/>
      <c r="D149" s="57">
        <v>25</v>
      </c>
      <c r="E149" s="8"/>
      <c r="F149" s="8"/>
      <c r="G149" s="8"/>
      <c r="H149" s="49"/>
      <c r="I149" s="8"/>
      <c r="J149" s="8"/>
      <c r="K149" s="8"/>
      <c r="L149" s="49"/>
      <c r="M149" s="8"/>
      <c r="N149" s="57"/>
      <c r="O149" s="49"/>
      <c r="P149" s="8"/>
      <c r="Q149" s="8"/>
      <c r="R149" s="8"/>
      <c r="S149" s="8"/>
      <c r="T149" s="8"/>
      <c r="U149" s="8"/>
      <c r="V149" s="43"/>
    </row>
    <row r="150" spans="1:22" x14ac:dyDescent="0.25">
      <c r="A150" s="59"/>
      <c r="B150" s="59"/>
      <c r="D150" s="57">
        <v>26</v>
      </c>
      <c r="E150" s="8"/>
      <c r="F150" s="8"/>
      <c r="G150" s="8"/>
      <c r="H150" s="49"/>
      <c r="I150" s="8"/>
      <c r="J150" s="8"/>
      <c r="K150" s="8"/>
      <c r="L150" s="49"/>
      <c r="M150" s="8"/>
      <c r="N150" s="57"/>
      <c r="O150" s="49"/>
      <c r="P150" s="8"/>
      <c r="Q150" s="8"/>
      <c r="R150" s="8"/>
      <c r="S150" s="8"/>
      <c r="T150" s="8"/>
      <c r="U150" s="8"/>
      <c r="V150" s="43"/>
    </row>
    <row r="151" spans="1:22" x14ac:dyDescent="0.25">
      <c r="A151" s="59"/>
      <c r="B151" s="59"/>
      <c r="D151" s="57">
        <v>27</v>
      </c>
      <c r="E151" s="8"/>
      <c r="F151" s="8"/>
      <c r="G151" s="8"/>
      <c r="H151" s="49"/>
      <c r="I151" s="8"/>
      <c r="J151" s="8"/>
      <c r="K151" s="8"/>
      <c r="L151" s="49"/>
      <c r="M151" s="8"/>
      <c r="N151" s="57"/>
      <c r="O151" s="49"/>
      <c r="P151" s="8"/>
      <c r="Q151" s="8"/>
      <c r="R151" s="8"/>
      <c r="S151" s="8"/>
      <c r="T151" s="8"/>
      <c r="U151" s="8"/>
      <c r="V151" s="43"/>
    </row>
    <row r="152" spans="1:22" x14ac:dyDescent="0.25">
      <c r="A152" s="59"/>
      <c r="B152" s="59"/>
      <c r="D152" s="57">
        <v>28</v>
      </c>
      <c r="E152" s="8"/>
      <c r="F152" s="8"/>
      <c r="G152" s="8"/>
      <c r="H152" s="49"/>
      <c r="I152" s="8"/>
      <c r="J152" s="8"/>
      <c r="K152" s="8"/>
      <c r="L152" s="49"/>
      <c r="M152" s="8"/>
      <c r="N152" s="57"/>
      <c r="O152" s="49"/>
      <c r="P152" s="8"/>
      <c r="Q152" s="8"/>
      <c r="R152" s="8"/>
      <c r="S152" s="8"/>
      <c r="T152" s="8"/>
      <c r="U152" s="8"/>
      <c r="V152" s="43"/>
    </row>
    <row r="153" spans="1:22" x14ac:dyDescent="0.25">
      <c r="A153" s="59"/>
      <c r="B153" s="59"/>
      <c r="D153" s="57">
        <v>29</v>
      </c>
      <c r="E153" s="8"/>
      <c r="F153" s="8"/>
      <c r="G153" s="8"/>
      <c r="H153" s="49"/>
      <c r="I153" s="8"/>
      <c r="J153" s="8"/>
      <c r="K153" s="8"/>
      <c r="L153" s="49"/>
      <c r="M153" s="8"/>
      <c r="N153" s="57"/>
      <c r="O153" s="49"/>
      <c r="P153" s="8"/>
      <c r="Q153" s="8"/>
      <c r="R153" s="8"/>
      <c r="S153" s="8"/>
      <c r="T153" s="8"/>
      <c r="U153" s="8"/>
      <c r="V153" s="43"/>
    </row>
    <row r="154" spans="1:22" x14ac:dyDescent="0.25">
      <c r="A154" s="59"/>
      <c r="B154" s="59"/>
      <c r="D154" s="57">
        <v>30</v>
      </c>
      <c r="E154" s="8"/>
      <c r="F154" s="8"/>
      <c r="G154" s="8"/>
      <c r="H154" s="49"/>
      <c r="I154" s="8"/>
      <c r="J154" s="8"/>
      <c r="K154" s="8"/>
      <c r="L154" s="49"/>
      <c r="M154" s="8"/>
      <c r="N154" s="57"/>
      <c r="O154" s="49"/>
      <c r="P154" s="8"/>
      <c r="Q154" s="8"/>
      <c r="R154" s="8"/>
      <c r="S154" s="8"/>
      <c r="T154" s="8"/>
      <c r="U154" s="8"/>
      <c r="V154" s="43"/>
    </row>
    <row r="155" spans="1:22" x14ac:dyDescent="0.25">
      <c r="A155" s="59"/>
      <c r="B155" s="59"/>
      <c r="D155" s="57">
        <v>31</v>
      </c>
      <c r="E155" s="8"/>
      <c r="F155" s="8"/>
      <c r="G155" s="8"/>
      <c r="H155" s="49"/>
      <c r="I155" s="8"/>
      <c r="J155" s="8"/>
      <c r="K155" s="8"/>
      <c r="L155" s="49"/>
      <c r="M155" s="8"/>
      <c r="N155" s="57"/>
      <c r="O155" s="49"/>
      <c r="P155" s="8"/>
      <c r="Q155" s="8"/>
      <c r="R155" s="8"/>
      <c r="S155" s="8"/>
      <c r="T155" s="8"/>
      <c r="U155" s="8"/>
      <c r="V155" s="43"/>
    </row>
    <row r="156" spans="1:22" x14ac:dyDescent="0.25">
      <c r="A156" s="59"/>
      <c r="B156" s="59"/>
      <c r="D156" s="57">
        <v>32</v>
      </c>
      <c r="E156" s="8"/>
      <c r="F156" s="8"/>
      <c r="G156" s="8"/>
      <c r="H156" s="49"/>
      <c r="I156" s="8"/>
      <c r="J156" s="8"/>
      <c r="K156" s="8"/>
      <c r="L156" s="49"/>
      <c r="M156" s="8"/>
      <c r="N156" s="57"/>
      <c r="O156" s="49"/>
      <c r="P156" s="8"/>
      <c r="Q156" s="8"/>
      <c r="R156" s="8"/>
      <c r="S156" s="8"/>
      <c r="T156" s="8"/>
      <c r="U156" s="8"/>
      <c r="V156" s="43"/>
    </row>
    <row r="157" spans="1:22" x14ac:dyDescent="0.25">
      <c r="A157" s="59"/>
      <c r="B157" s="59"/>
      <c r="D157" s="57">
        <v>33</v>
      </c>
      <c r="E157" s="8"/>
      <c r="F157" s="8"/>
      <c r="G157" s="8"/>
      <c r="H157" s="49"/>
      <c r="I157" s="8"/>
      <c r="J157" s="8"/>
      <c r="K157" s="8"/>
      <c r="L157" s="49"/>
      <c r="M157" s="8"/>
      <c r="N157" s="57"/>
      <c r="O157" s="49"/>
      <c r="P157" s="8"/>
      <c r="Q157" s="8"/>
      <c r="R157" s="8"/>
      <c r="S157" s="8"/>
      <c r="T157" s="8"/>
      <c r="U157" s="8"/>
      <c r="V157" s="43"/>
    </row>
    <row r="158" spans="1:22" x14ac:dyDescent="0.25">
      <c r="A158" s="59"/>
      <c r="B158" s="59"/>
      <c r="D158" s="57">
        <v>34</v>
      </c>
      <c r="E158" s="8"/>
      <c r="F158" s="8"/>
      <c r="G158" s="8"/>
      <c r="H158" s="49"/>
      <c r="I158" s="8"/>
      <c r="J158" s="8"/>
      <c r="K158" s="8"/>
      <c r="L158" s="49"/>
      <c r="M158" s="8"/>
      <c r="N158" s="57"/>
      <c r="O158" s="49"/>
      <c r="P158" s="8"/>
      <c r="Q158" s="8"/>
      <c r="R158" s="8"/>
      <c r="S158" s="8"/>
      <c r="T158" s="8"/>
      <c r="U158" s="8"/>
      <c r="V158" s="43"/>
    </row>
    <row r="159" spans="1:22" x14ac:dyDescent="0.25">
      <c r="A159" s="59"/>
      <c r="B159" s="59"/>
      <c r="D159" s="57">
        <v>35</v>
      </c>
      <c r="E159" s="8"/>
      <c r="F159" s="8"/>
      <c r="G159" s="8"/>
      <c r="H159" s="8"/>
      <c r="I159" s="8"/>
      <c r="J159" s="8"/>
      <c r="K159" s="8"/>
      <c r="L159" s="8"/>
      <c r="M159" s="8"/>
      <c r="N159" s="57"/>
      <c r="O159" s="8"/>
      <c r="P159" s="8"/>
      <c r="Q159" s="8"/>
      <c r="R159" s="8"/>
      <c r="S159" s="8"/>
      <c r="T159" s="8"/>
      <c r="U159" s="8"/>
      <c r="V159" s="8"/>
    </row>
    <row r="160" spans="1:22" x14ac:dyDescent="0.25">
      <c r="A160" s="59"/>
      <c r="B160" s="59"/>
      <c r="D160" s="57">
        <v>36</v>
      </c>
      <c r="E160" s="8"/>
      <c r="F160" s="35"/>
      <c r="G160" s="8"/>
      <c r="H160" s="8"/>
      <c r="I160" s="32"/>
      <c r="J160" s="32"/>
      <c r="K160" s="32"/>
      <c r="L160" s="39"/>
      <c r="M160" s="32"/>
      <c r="N160" s="42"/>
      <c r="O160" s="32"/>
      <c r="P160" s="32"/>
      <c r="Q160" s="32"/>
      <c r="R160" s="32"/>
      <c r="S160" s="39"/>
      <c r="T160" s="32"/>
      <c r="U160" s="32"/>
      <c r="V160" s="53"/>
    </row>
    <row r="161" spans="1:22" x14ac:dyDescent="0.25">
      <c r="A161" s="59"/>
      <c r="B161" s="59"/>
      <c r="D161" s="57">
        <v>37</v>
      </c>
      <c r="E161" s="8"/>
      <c r="F161" s="35"/>
      <c r="G161" s="8"/>
      <c r="H161" s="8"/>
      <c r="I161" s="32"/>
      <c r="J161" s="32"/>
      <c r="K161" s="32"/>
      <c r="L161" s="39"/>
      <c r="M161" s="32"/>
      <c r="N161" s="42"/>
      <c r="O161" s="32"/>
      <c r="P161" s="32"/>
      <c r="Q161" s="32"/>
      <c r="R161" s="32"/>
      <c r="S161" s="39"/>
      <c r="T161" s="32"/>
      <c r="U161" s="32"/>
      <c r="V161" s="53"/>
    </row>
    <row r="162" spans="1:22" x14ac:dyDescent="0.25">
      <c r="A162" s="59"/>
      <c r="B162" s="59"/>
      <c r="D162" s="57">
        <v>38</v>
      </c>
      <c r="E162" s="8"/>
      <c r="F162" s="35"/>
      <c r="G162" s="8"/>
      <c r="H162" s="8"/>
      <c r="I162" s="32"/>
      <c r="J162" s="32"/>
      <c r="K162" s="32"/>
      <c r="L162" s="39"/>
      <c r="M162" s="32"/>
      <c r="N162" s="42"/>
      <c r="O162" s="32"/>
      <c r="P162" s="32"/>
      <c r="Q162" s="32"/>
      <c r="R162" s="32"/>
      <c r="S162" s="39"/>
      <c r="T162" s="32"/>
      <c r="U162" s="32"/>
      <c r="V162" s="53"/>
    </row>
    <row r="163" spans="1:22" ht="15.75" thickBot="1" x14ac:dyDescent="0.3">
      <c r="A163" s="59"/>
      <c r="B163" s="59"/>
      <c r="D163" s="58">
        <v>39</v>
      </c>
      <c r="E163" s="9"/>
      <c r="F163" s="9"/>
      <c r="G163" s="9"/>
      <c r="H163" s="9"/>
      <c r="I163" s="9"/>
      <c r="J163" s="9"/>
      <c r="K163" s="9"/>
      <c r="L163" s="9"/>
      <c r="M163" s="9"/>
      <c r="N163" s="58"/>
      <c r="O163" s="9"/>
      <c r="P163" s="9"/>
      <c r="Q163" s="9"/>
      <c r="R163" s="9"/>
      <c r="S163" s="9"/>
      <c r="T163" s="9"/>
      <c r="U163" s="9"/>
      <c r="V163" s="13"/>
    </row>
    <row r="164" spans="1:22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57"/>
      <c r="O164" s="8"/>
      <c r="P164" s="8"/>
      <c r="Q164" s="8"/>
      <c r="R164" s="8"/>
      <c r="S164" s="8"/>
      <c r="T164" s="8"/>
      <c r="U164" s="8"/>
      <c r="V164" s="8" t="s">
        <v>304</v>
      </c>
    </row>
  </sheetData>
  <mergeCells count="7">
    <mergeCell ref="E125:G125"/>
    <mergeCell ref="K3:O3"/>
    <mergeCell ref="K4:O4"/>
    <mergeCell ref="K57:O57"/>
    <mergeCell ref="K58:O58"/>
    <mergeCell ref="K111:O111"/>
    <mergeCell ref="K112:O112"/>
  </mergeCells>
  <pageMargins left="0.7" right="0.7" top="0.75" bottom="0.75" header="0.3" footer="0.3"/>
  <pageSetup scale="46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CC7ED-15BD-438C-A5B5-DBD74450C1FB}">
  <dimension ref="A1:T20"/>
  <sheetViews>
    <sheetView workbookViewId="0"/>
  </sheetViews>
  <sheetFormatPr defaultRowHeight="15" x14ac:dyDescent="0.25"/>
  <cols>
    <col min="1" max="2" width="9.140625" style="97"/>
    <col min="3" max="5" width="23.5703125" bestFit="1" customWidth="1"/>
    <col min="6" max="6" width="24.5703125" bestFit="1" customWidth="1"/>
    <col min="7" max="8" width="24.5703125" customWidth="1"/>
    <col min="9" max="9" width="19.42578125" style="97" bestFit="1" customWidth="1"/>
    <col min="10" max="10" width="19.85546875" style="97" customWidth="1"/>
    <col min="11" max="11" width="20.85546875" style="97" bestFit="1" customWidth="1"/>
    <col min="12" max="13" width="29.85546875" customWidth="1"/>
    <col min="15" max="15" width="20.7109375" customWidth="1"/>
    <col min="22" max="25" width="44.28515625" customWidth="1"/>
  </cols>
  <sheetData>
    <row r="1" spans="1:20" x14ac:dyDescent="0.25">
      <c r="A1" s="97" t="s">
        <v>1276</v>
      </c>
      <c r="B1" s="97" t="s">
        <v>1277</v>
      </c>
      <c r="C1" s="184" t="s">
        <v>1278</v>
      </c>
      <c r="D1" s="184" t="s">
        <v>1279</v>
      </c>
      <c r="E1" s="184" t="s">
        <v>1280</v>
      </c>
      <c r="F1" s="97" t="s">
        <v>1281</v>
      </c>
      <c r="G1" s="185" t="s">
        <v>1282</v>
      </c>
      <c r="H1" s="185" t="s">
        <v>1283</v>
      </c>
      <c r="I1" s="97" t="s">
        <v>1284</v>
      </c>
      <c r="J1" s="97" t="s">
        <v>1285</v>
      </c>
      <c r="K1" s="97" t="s">
        <v>1286</v>
      </c>
      <c r="L1" s="97" t="s">
        <v>1287</v>
      </c>
      <c r="M1" s="186" t="s">
        <v>1288</v>
      </c>
      <c r="O1" s="97" t="s">
        <v>1289</v>
      </c>
      <c r="T1" s="97"/>
    </row>
    <row r="2" spans="1:20" x14ac:dyDescent="0.25">
      <c r="A2" s="97">
        <v>2025</v>
      </c>
      <c r="B2" s="97">
        <v>1</v>
      </c>
      <c r="C2" s="169">
        <v>12137.139187257751</v>
      </c>
      <c r="D2" s="169">
        <v>245.92173086240308</v>
      </c>
      <c r="E2" s="169">
        <v>61.691126453488366</v>
      </c>
      <c r="F2" s="169">
        <v>12444.752044573643</v>
      </c>
      <c r="G2" s="169">
        <v>12137.139187257751</v>
      </c>
      <c r="H2" s="169">
        <v>307.61285731589146</v>
      </c>
      <c r="I2" s="187">
        <v>584.35913275193798</v>
      </c>
      <c r="J2" s="187">
        <v>11.840237403100774</v>
      </c>
      <c r="K2" s="187">
        <v>2.9702034883720927</v>
      </c>
      <c r="L2" s="169">
        <v>599.1695736434109</v>
      </c>
      <c r="M2" s="188">
        <v>0.67</v>
      </c>
      <c r="O2" s="169">
        <v>0</v>
      </c>
      <c r="T2" s="189"/>
    </row>
    <row r="3" spans="1:20" x14ac:dyDescent="0.25">
      <c r="A3" s="97">
        <v>2025</v>
      </c>
      <c r="B3" s="97">
        <v>2</v>
      </c>
      <c r="C3" s="169">
        <v>10962.577330426357</v>
      </c>
      <c r="D3" s="169">
        <v>222.12285368217053</v>
      </c>
      <c r="E3" s="169">
        <v>55.721017441860461</v>
      </c>
      <c r="F3" s="169">
        <v>11240.421201550387</v>
      </c>
      <c r="G3" s="169">
        <v>10962.577330426357</v>
      </c>
      <c r="H3" s="169">
        <v>277.84387112403101</v>
      </c>
      <c r="I3" s="187">
        <v>584.35913275193798</v>
      </c>
      <c r="J3" s="187">
        <v>11.840237403100774</v>
      </c>
      <c r="K3" s="187">
        <v>2.9702034883720927</v>
      </c>
      <c r="L3" s="169">
        <v>599.1695736434109</v>
      </c>
      <c r="M3" s="188">
        <v>0.67</v>
      </c>
      <c r="O3" s="169">
        <v>0</v>
      </c>
      <c r="T3" s="189"/>
    </row>
    <row r="4" spans="1:20" x14ac:dyDescent="0.25">
      <c r="A4" s="97">
        <v>2025</v>
      </c>
      <c r="B4" s="97">
        <v>3</v>
      </c>
      <c r="C4" s="169">
        <v>12137.139187257751</v>
      </c>
      <c r="D4" s="169">
        <v>245.92173086240308</v>
      </c>
      <c r="E4" s="169">
        <v>61.691126453488366</v>
      </c>
      <c r="F4" s="169">
        <v>12444.752044573643</v>
      </c>
      <c r="G4" s="169">
        <v>12137.139187257751</v>
      </c>
      <c r="H4" s="169">
        <v>307.61285731589146</v>
      </c>
      <c r="I4" s="187">
        <v>584.35913275193798</v>
      </c>
      <c r="J4" s="187">
        <v>11.840237403100774</v>
      </c>
      <c r="K4" s="187">
        <v>2.9702034883720927</v>
      </c>
      <c r="L4" s="169">
        <v>599.1695736434109</v>
      </c>
      <c r="M4" s="188">
        <v>0.67</v>
      </c>
      <c r="O4" s="169">
        <v>0</v>
      </c>
      <c r="T4" s="189"/>
    </row>
    <row r="5" spans="1:20" x14ac:dyDescent="0.25">
      <c r="A5" s="97">
        <v>2025</v>
      </c>
      <c r="B5" s="97">
        <v>4</v>
      </c>
      <c r="C5" s="169">
        <v>11745.618568313952</v>
      </c>
      <c r="D5" s="169">
        <v>237.98877180232557</v>
      </c>
      <c r="E5" s="169">
        <v>59.701090116279069</v>
      </c>
      <c r="F5" s="169">
        <v>12043.308430232557</v>
      </c>
      <c r="G5" s="169">
        <v>11745.618568313952</v>
      </c>
      <c r="H5" s="169">
        <v>297.68986191860466</v>
      </c>
      <c r="I5" s="187">
        <v>584.35913275193798</v>
      </c>
      <c r="J5" s="187">
        <v>11.840237403100774</v>
      </c>
      <c r="K5" s="187">
        <v>2.9702034883720927</v>
      </c>
      <c r="L5" s="169">
        <v>599.1695736434109</v>
      </c>
      <c r="M5" s="188">
        <v>0.67</v>
      </c>
      <c r="O5" s="169">
        <v>0</v>
      </c>
      <c r="T5" s="189"/>
    </row>
    <row r="6" spans="1:20" x14ac:dyDescent="0.25">
      <c r="A6" s="97">
        <v>2025</v>
      </c>
      <c r="B6" s="97">
        <v>5</v>
      </c>
      <c r="C6" s="169">
        <v>12137.139187257751</v>
      </c>
      <c r="D6" s="169">
        <v>245.92173086240308</v>
      </c>
      <c r="E6" s="169">
        <v>61.691126453488366</v>
      </c>
      <c r="F6" s="169">
        <v>12444.752044573643</v>
      </c>
      <c r="G6" s="169">
        <v>12137.139187257751</v>
      </c>
      <c r="H6" s="169">
        <v>307.61285731589146</v>
      </c>
      <c r="I6" s="187">
        <v>584.35913275193798</v>
      </c>
      <c r="J6" s="187">
        <v>11.840237403100774</v>
      </c>
      <c r="K6" s="187">
        <v>2.9702034883720927</v>
      </c>
      <c r="L6" s="169">
        <v>599.1695736434109</v>
      </c>
      <c r="M6" s="188">
        <v>0.67</v>
      </c>
      <c r="O6" s="169">
        <v>0</v>
      </c>
      <c r="T6" s="189"/>
    </row>
    <row r="7" spans="1:20" x14ac:dyDescent="0.25">
      <c r="A7" s="97">
        <v>2025</v>
      </c>
      <c r="B7" s="97">
        <v>6</v>
      </c>
      <c r="C7" s="169">
        <v>11745.618568313952</v>
      </c>
      <c r="D7" s="169">
        <v>237.98877180232557</v>
      </c>
      <c r="E7" s="169">
        <v>59.701090116279069</v>
      </c>
      <c r="F7" s="169">
        <v>12043.308430232557</v>
      </c>
      <c r="G7" s="169">
        <v>11745.618568313952</v>
      </c>
      <c r="H7" s="169">
        <v>297.68986191860466</v>
      </c>
      <c r="I7" s="187">
        <v>584.35913275193798</v>
      </c>
      <c r="J7" s="187">
        <v>11.840237403100774</v>
      </c>
      <c r="K7" s="187">
        <v>2.9702034883720927</v>
      </c>
      <c r="L7" s="169">
        <v>599.1695736434109</v>
      </c>
      <c r="M7" s="188">
        <v>0.67</v>
      </c>
      <c r="O7" s="169">
        <v>0</v>
      </c>
      <c r="T7" s="189"/>
    </row>
    <row r="8" spans="1:20" x14ac:dyDescent="0.25">
      <c r="A8" s="97">
        <v>2025</v>
      </c>
      <c r="B8" s="97">
        <v>7</v>
      </c>
      <c r="C8" s="169">
        <v>12137.139187257751</v>
      </c>
      <c r="D8" s="169">
        <v>245.92173086240308</v>
      </c>
      <c r="E8" s="169">
        <v>61.691126453488366</v>
      </c>
      <c r="F8" s="169">
        <v>12444.752044573643</v>
      </c>
      <c r="G8" s="169">
        <v>12137.139187257751</v>
      </c>
      <c r="H8" s="169">
        <v>307.61285731589146</v>
      </c>
      <c r="I8" s="187">
        <v>584.35913275193798</v>
      </c>
      <c r="J8" s="187">
        <v>11.840237403100774</v>
      </c>
      <c r="K8" s="187">
        <v>2.9702034883720927</v>
      </c>
      <c r="L8" s="169">
        <v>599.1695736434109</v>
      </c>
      <c r="M8" s="188">
        <v>0.67</v>
      </c>
      <c r="O8" s="169">
        <v>0</v>
      </c>
      <c r="T8" s="189"/>
    </row>
    <row r="9" spans="1:20" x14ac:dyDescent="0.25">
      <c r="A9" s="97">
        <v>2025</v>
      </c>
      <c r="B9" s="97">
        <v>8</v>
      </c>
      <c r="C9" s="169">
        <v>12137.139187257751</v>
      </c>
      <c r="D9" s="169">
        <v>245.92173086240308</v>
      </c>
      <c r="E9" s="169">
        <v>61.691126453488366</v>
      </c>
      <c r="F9" s="169">
        <v>12444.752044573643</v>
      </c>
      <c r="G9" s="169">
        <v>12137.139187257751</v>
      </c>
      <c r="H9" s="169">
        <v>307.61285731589146</v>
      </c>
      <c r="I9" s="187">
        <v>584.35913275193798</v>
      </c>
      <c r="J9" s="187">
        <v>11.840237403100774</v>
      </c>
      <c r="K9" s="187">
        <v>2.9702034883720927</v>
      </c>
      <c r="L9" s="169">
        <v>599.1695736434109</v>
      </c>
      <c r="M9" s="188">
        <v>0.67</v>
      </c>
      <c r="O9" s="169">
        <v>0</v>
      </c>
      <c r="T9" s="189"/>
    </row>
    <row r="10" spans="1:20" x14ac:dyDescent="0.25">
      <c r="A10" s="97">
        <v>2025</v>
      </c>
      <c r="B10" s="97">
        <v>9</v>
      </c>
      <c r="C10" s="169">
        <v>11745.618568313952</v>
      </c>
      <c r="D10" s="169">
        <v>237.98877180232557</v>
      </c>
      <c r="E10" s="169">
        <v>59.701090116279069</v>
      </c>
      <c r="F10" s="169">
        <v>12043.308430232557</v>
      </c>
      <c r="G10" s="169">
        <v>11745.618568313952</v>
      </c>
      <c r="H10" s="169">
        <v>297.68986191860466</v>
      </c>
      <c r="I10" s="187">
        <v>584.35913275193798</v>
      </c>
      <c r="J10" s="187">
        <v>11.840237403100774</v>
      </c>
      <c r="K10" s="187">
        <v>2.9702034883720927</v>
      </c>
      <c r="L10" s="169">
        <v>599.1695736434109</v>
      </c>
      <c r="M10" s="188">
        <v>0.67</v>
      </c>
      <c r="O10" s="169">
        <v>0</v>
      </c>
      <c r="T10" s="189"/>
    </row>
    <row r="11" spans="1:20" x14ac:dyDescent="0.25">
      <c r="A11" s="97">
        <v>2025</v>
      </c>
      <c r="B11" s="97">
        <v>10</v>
      </c>
      <c r="C11" s="169">
        <v>12137.139187257751</v>
      </c>
      <c r="D11" s="169">
        <v>245.92173086240308</v>
      </c>
      <c r="E11" s="169">
        <v>61.691126453488366</v>
      </c>
      <c r="F11" s="169">
        <v>12444.752044573643</v>
      </c>
      <c r="G11" s="169">
        <v>12137.139187257751</v>
      </c>
      <c r="H11" s="169">
        <v>307.61285731589146</v>
      </c>
      <c r="I11" s="187">
        <v>584.35913275193798</v>
      </c>
      <c r="J11" s="187">
        <v>11.840237403100774</v>
      </c>
      <c r="K11" s="187">
        <v>2.9702034883720927</v>
      </c>
      <c r="L11" s="169">
        <v>599.1695736434109</v>
      </c>
      <c r="M11" s="188">
        <v>0.67</v>
      </c>
      <c r="O11" s="169">
        <v>0</v>
      </c>
      <c r="T11" s="189"/>
    </row>
    <row r="12" spans="1:20" x14ac:dyDescent="0.25">
      <c r="A12" s="97">
        <v>2025</v>
      </c>
      <c r="B12" s="97">
        <v>11</v>
      </c>
      <c r="C12" s="169">
        <v>11745.618568313952</v>
      </c>
      <c r="D12" s="169">
        <v>237.98877180232557</v>
      </c>
      <c r="E12" s="169">
        <v>59.701090116279069</v>
      </c>
      <c r="F12" s="169">
        <v>12043.308430232557</v>
      </c>
      <c r="G12" s="169">
        <v>11745.618568313952</v>
      </c>
      <c r="H12" s="169">
        <v>297.68986191860466</v>
      </c>
      <c r="I12" s="187">
        <v>584.35913275193798</v>
      </c>
      <c r="J12" s="187">
        <v>11.840237403100774</v>
      </c>
      <c r="K12" s="187">
        <v>2.9702034883720927</v>
      </c>
      <c r="L12" s="169">
        <v>599.1695736434109</v>
      </c>
      <c r="M12" s="188">
        <v>0.67</v>
      </c>
      <c r="O12" s="169">
        <v>0</v>
      </c>
      <c r="T12" s="189"/>
    </row>
    <row r="13" spans="1:20" x14ac:dyDescent="0.25">
      <c r="A13" s="97">
        <v>2025</v>
      </c>
      <c r="B13" s="97">
        <v>12</v>
      </c>
      <c r="C13" s="169">
        <v>12137.139187257751</v>
      </c>
      <c r="D13" s="169">
        <v>245.92173086240308</v>
      </c>
      <c r="E13" s="169">
        <v>61.691126453488366</v>
      </c>
      <c r="F13" s="169">
        <v>12444.752044573643</v>
      </c>
      <c r="G13" s="169">
        <v>12137.139187257751</v>
      </c>
      <c r="H13" s="169">
        <v>307.61285731589146</v>
      </c>
      <c r="I13" s="187">
        <v>584.35913275193798</v>
      </c>
      <c r="J13" s="187">
        <v>11.840237403100774</v>
      </c>
      <c r="K13" s="187">
        <v>2.9702034883720927</v>
      </c>
      <c r="L13" s="169">
        <v>599.1695736434109</v>
      </c>
      <c r="M13" s="188">
        <v>0.67</v>
      </c>
      <c r="O13" s="169">
        <v>0</v>
      </c>
      <c r="T13" s="189"/>
    </row>
    <row r="20" spans="9:9" x14ac:dyDescent="0.25">
      <c r="I20" s="262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620DB-B76C-4A8C-94E1-B9D6A2571CB4}">
  <sheetPr>
    <pageSetUpPr fitToPage="1"/>
  </sheetPr>
  <dimension ref="A3:V56"/>
  <sheetViews>
    <sheetView topLeftCell="B39" workbookViewId="0">
      <selection activeCell="D15" sqref="D15:D55"/>
    </sheetView>
  </sheetViews>
  <sheetFormatPr defaultRowHeight="15" x14ac:dyDescent="0.25"/>
  <cols>
    <col min="1" max="1" width="38.140625" bestFit="1" customWidth="1"/>
    <col min="2" max="2" width="25.140625" bestFit="1" customWidth="1"/>
    <col min="8" max="8" width="10.5703125" customWidth="1"/>
    <col min="10" max="10" width="9.42578125" bestFit="1" customWidth="1"/>
    <col min="12" max="12" width="9.85546875" bestFit="1" customWidth="1"/>
    <col min="15" max="15" width="10.7109375" bestFit="1" customWidth="1"/>
    <col min="17" max="17" width="14.7109375" bestFit="1" customWidth="1"/>
    <col min="19" max="19" width="12.85546875" customWidth="1"/>
    <col min="21" max="21" width="10.85546875" bestFit="1" customWidth="1"/>
    <col min="22" max="22" width="18.7109375" bestFit="1" customWidth="1"/>
  </cols>
  <sheetData>
    <row r="3" spans="1:22" x14ac:dyDescent="0.25">
      <c r="D3" s="8"/>
      <c r="E3" s="8"/>
      <c r="F3" s="8"/>
      <c r="G3" s="8"/>
      <c r="H3" s="8"/>
      <c r="I3" s="8"/>
      <c r="J3" s="8"/>
      <c r="K3" s="378"/>
      <c r="L3" s="378"/>
      <c r="M3" s="378"/>
      <c r="N3" s="378"/>
      <c r="O3" s="378"/>
      <c r="P3" s="8"/>
      <c r="Q3" s="8"/>
      <c r="R3" s="8"/>
      <c r="S3" s="8"/>
      <c r="T3" s="8"/>
      <c r="U3" s="8"/>
      <c r="V3" s="8"/>
    </row>
    <row r="4" spans="1:22" ht="15.75" thickBot="1" x14ac:dyDescent="0.3">
      <c r="D4" s="9" t="s">
        <v>305</v>
      </c>
      <c r="E4" s="9"/>
      <c r="F4" s="9"/>
      <c r="G4" s="9"/>
      <c r="H4" s="9"/>
      <c r="I4" s="9"/>
      <c r="J4" s="9"/>
      <c r="K4" s="379" t="s">
        <v>306</v>
      </c>
      <c r="L4" s="379"/>
      <c r="M4" s="379"/>
      <c r="N4" s="379"/>
      <c r="O4" s="379"/>
      <c r="P4" s="9"/>
      <c r="Q4" s="9"/>
      <c r="R4" s="9"/>
      <c r="S4" s="9"/>
      <c r="T4" s="9"/>
      <c r="U4" s="9"/>
      <c r="V4" s="13" t="s">
        <v>889</v>
      </c>
    </row>
    <row r="5" spans="1:22" x14ac:dyDescent="0.25">
      <c r="A5" s="60" t="s">
        <v>711</v>
      </c>
      <c r="B5" s="61">
        <f>+'Operating Revenue Requirement'!F9</f>
        <v>3573046.9034759998</v>
      </c>
      <c r="D5" s="8" t="s">
        <v>307</v>
      </c>
      <c r="E5" s="8"/>
      <c r="F5" s="8"/>
      <c r="G5" s="8"/>
      <c r="H5" s="8" t="s">
        <v>308</v>
      </c>
      <c r="I5" s="8"/>
      <c r="J5" s="8" t="s">
        <v>910</v>
      </c>
      <c r="K5" s="8"/>
      <c r="L5" s="8"/>
      <c r="M5" s="8"/>
      <c r="N5" s="98"/>
      <c r="O5" s="99"/>
      <c r="P5" s="8"/>
      <c r="Q5" s="99"/>
      <c r="R5" s="99"/>
      <c r="S5" s="99" t="s">
        <v>309</v>
      </c>
      <c r="T5" s="8"/>
      <c r="U5" s="8"/>
      <c r="V5" s="10"/>
    </row>
    <row r="6" spans="1:22" x14ac:dyDescent="0.25">
      <c r="D6" s="8"/>
      <c r="E6" s="8"/>
      <c r="F6" s="8"/>
      <c r="G6" s="8"/>
      <c r="H6" s="8"/>
      <c r="I6" s="8"/>
      <c r="J6" s="8" t="s">
        <v>911</v>
      </c>
      <c r="K6" s="8"/>
      <c r="L6" s="8"/>
      <c r="M6" s="8"/>
      <c r="N6" s="57"/>
      <c r="O6" s="10"/>
      <c r="P6" s="8"/>
      <c r="Q6" s="8"/>
      <c r="R6" s="11"/>
      <c r="S6" s="11"/>
      <c r="T6" s="117" t="s">
        <v>916</v>
      </c>
      <c r="U6" s="116" t="s">
        <v>1512</v>
      </c>
      <c r="V6" s="11"/>
    </row>
    <row r="7" spans="1:22" x14ac:dyDescent="0.25">
      <c r="A7" s="62" t="s">
        <v>713</v>
      </c>
      <c r="B7" s="64">
        <v>0</v>
      </c>
      <c r="D7" s="8" t="s">
        <v>310</v>
      </c>
      <c r="E7" s="8"/>
      <c r="F7" s="8"/>
      <c r="G7" s="8"/>
      <c r="H7" s="8"/>
      <c r="I7" s="8"/>
      <c r="J7" s="8" t="s">
        <v>912</v>
      </c>
      <c r="K7" s="8"/>
      <c r="L7" s="8"/>
      <c r="M7" s="8"/>
      <c r="N7" s="57"/>
      <c r="O7" s="10"/>
      <c r="P7" s="11"/>
      <c r="Q7" s="8"/>
      <c r="R7" s="8"/>
      <c r="S7" s="11"/>
      <c r="T7" s="265"/>
      <c r="U7" s="116"/>
      <c r="V7" s="11"/>
    </row>
    <row r="8" spans="1:22" x14ac:dyDescent="0.25">
      <c r="A8" s="62" t="s">
        <v>712</v>
      </c>
      <c r="B8" s="63">
        <f>+S23</f>
        <v>3573046.9034759998</v>
      </c>
      <c r="D8" s="8"/>
      <c r="E8" s="8"/>
      <c r="F8" s="8"/>
      <c r="G8" s="8"/>
      <c r="H8" s="8"/>
      <c r="I8" s="8"/>
      <c r="J8" s="8" t="s">
        <v>913</v>
      </c>
      <c r="K8" s="8"/>
      <c r="L8" s="8"/>
      <c r="M8" s="8"/>
      <c r="N8" s="57"/>
      <c r="O8" s="10"/>
      <c r="P8" s="11"/>
      <c r="Q8" s="8"/>
      <c r="R8" s="8"/>
      <c r="S8" s="11"/>
      <c r="T8" s="265"/>
      <c r="U8" s="116"/>
      <c r="V8" s="11"/>
    </row>
    <row r="9" spans="1:22" x14ac:dyDescent="0.25">
      <c r="D9" s="8"/>
      <c r="E9" s="8"/>
      <c r="F9" s="11"/>
      <c r="G9" s="8"/>
      <c r="H9" s="8"/>
      <c r="I9" s="8"/>
      <c r="J9" s="8" t="s">
        <v>914</v>
      </c>
      <c r="K9" s="12"/>
      <c r="L9" s="12"/>
      <c r="M9" s="12"/>
      <c r="N9" s="57"/>
      <c r="O9" s="8"/>
      <c r="P9" s="8"/>
      <c r="Q9" s="8"/>
      <c r="R9" s="8"/>
      <c r="S9" s="8"/>
      <c r="T9" s="265"/>
      <c r="V9" s="8"/>
    </row>
    <row r="10" spans="1:22" ht="15.75" thickBot="1" x14ac:dyDescent="0.3">
      <c r="D10" s="9" t="s">
        <v>1292</v>
      </c>
      <c r="E10" s="9"/>
      <c r="F10" s="13"/>
      <c r="G10" s="14"/>
      <c r="H10" s="14"/>
      <c r="I10" s="14"/>
      <c r="J10" s="15" t="s">
        <v>915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14" t="s">
        <v>1519</v>
      </c>
      <c r="V10" s="14"/>
    </row>
    <row r="11" spans="1:22" x14ac:dyDescent="0.25">
      <c r="D11" s="8"/>
      <c r="E11" s="8"/>
      <c r="F11" s="8"/>
      <c r="G11" s="8"/>
      <c r="H11" s="12"/>
      <c r="I11" s="8"/>
      <c r="J11" s="12"/>
      <c r="K11" s="16"/>
      <c r="L11" s="12"/>
      <c r="M11" s="8"/>
      <c r="N11" s="12"/>
      <c r="O11" s="8"/>
      <c r="P11" s="16"/>
      <c r="Q11" s="8"/>
      <c r="R11" s="8"/>
      <c r="S11" s="8"/>
      <c r="T11" s="8"/>
      <c r="U11" s="8"/>
      <c r="V11" s="8"/>
    </row>
    <row r="12" spans="1:22" x14ac:dyDescent="0.25">
      <c r="D12" s="8"/>
      <c r="E12" s="8"/>
      <c r="F12" s="8"/>
      <c r="G12" s="8"/>
      <c r="H12" s="16"/>
      <c r="I12" s="8"/>
      <c r="J12" s="8"/>
      <c r="K12" s="16"/>
      <c r="L12" s="77"/>
      <c r="M12" s="8"/>
      <c r="N12" s="12"/>
      <c r="O12" s="8"/>
      <c r="P12" s="16"/>
      <c r="Q12" s="8"/>
      <c r="R12" s="8"/>
      <c r="S12" s="49"/>
      <c r="T12" s="8"/>
      <c r="U12" s="8"/>
      <c r="V12" s="8"/>
    </row>
    <row r="13" spans="1:22" x14ac:dyDescent="0.25">
      <c r="D13" s="8"/>
      <c r="E13" s="8"/>
      <c r="F13" s="8"/>
      <c r="G13" s="8"/>
      <c r="H13" s="8"/>
      <c r="I13" s="16"/>
      <c r="J13" s="16"/>
      <c r="K13" s="17"/>
      <c r="L13" s="8"/>
      <c r="M13" s="78" t="s">
        <v>715</v>
      </c>
      <c r="N13" s="18" t="s">
        <v>807</v>
      </c>
      <c r="O13" s="16"/>
      <c r="P13" s="8"/>
      <c r="Q13" s="16"/>
      <c r="R13" s="16"/>
      <c r="S13" s="221"/>
      <c r="T13" s="16"/>
      <c r="U13" s="16"/>
      <c r="V13" s="8"/>
    </row>
    <row r="14" spans="1:22" x14ac:dyDescent="0.25">
      <c r="D14" s="8"/>
      <c r="E14" s="8"/>
      <c r="F14" s="8"/>
      <c r="G14" s="8"/>
      <c r="H14" s="8"/>
      <c r="I14" s="16"/>
      <c r="J14" s="16"/>
      <c r="K14" s="16"/>
      <c r="L14" s="79"/>
      <c r="M14" s="16"/>
      <c r="N14" s="12"/>
      <c r="O14" s="16"/>
      <c r="P14" s="16"/>
      <c r="Q14" s="16"/>
      <c r="R14" s="16"/>
      <c r="S14" s="221"/>
      <c r="T14" s="16"/>
      <c r="U14" s="16"/>
      <c r="V14" s="16"/>
    </row>
    <row r="15" spans="1:22" x14ac:dyDescent="0.25">
      <c r="D15" s="57" t="s">
        <v>313</v>
      </c>
      <c r="E15" s="19" t="s">
        <v>314</v>
      </c>
      <c r="F15" s="20"/>
      <c r="G15" s="21"/>
      <c r="H15" s="22"/>
      <c r="I15" s="22"/>
      <c r="J15" s="23" t="s">
        <v>315</v>
      </c>
      <c r="K15" s="22"/>
      <c r="L15" s="80"/>
      <c r="M15" s="20"/>
      <c r="N15" s="24"/>
      <c r="O15" s="22"/>
      <c r="P15" s="23"/>
      <c r="Q15" s="23" t="s">
        <v>316</v>
      </c>
      <c r="R15" s="22"/>
      <c r="S15" s="81"/>
      <c r="T15" s="20"/>
      <c r="U15" s="25" t="s">
        <v>317</v>
      </c>
      <c r="V15" s="25" t="s">
        <v>318</v>
      </c>
    </row>
    <row r="16" spans="1:22" ht="15.75" thickBot="1" x14ac:dyDescent="0.3">
      <c r="A16" s="85" t="s">
        <v>551</v>
      </c>
      <c r="B16" s="85" t="s">
        <v>552</v>
      </c>
      <c r="D16" s="58" t="s">
        <v>319</v>
      </c>
      <c r="E16" s="192" t="s">
        <v>320</v>
      </c>
      <c r="F16" s="27"/>
      <c r="G16" s="9"/>
      <c r="H16" s="9" t="s">
        <v>321</v>
      </c>
      <c r="I16" s="27"/>
      <c r="J16" s="27" t="s">
        <v>322</v>
      </c>
      <c r="K16" s="27"/>
      <c r="L16" s="82" t="s">
        <v>323</v>
      </c>
      <c r="M16" s="27"/>
      <c r="N16" s="28"/>
      <c r="O16" s="27" t="s">
        <v>321</v>
      </c>
      <c r="P16" s="27"/>
      <c r="Q16" s="27" t="s">
        <v>322</v>
      </c>
      <c r="R16" s="27"/>
      <c r="S16" s="83" t="s">
        <v>323</v>
      </c>
      <c r="T16" s="27"/>
      <c r="U16" s="29" t="s">
        <v>324</v>
      </c>
      <c r="V16" s="29" t="s">
        <v>325</v>
      </c>
    </row>
    <row r="17" spans="1:22" x14ac:dyDescent="0.25">
      <c r="D17" s="57">
        <v>1</v>
      </c>
      <c r="E17" s="199"/>
      <c r="F17" s="200"/>
      <c r="G17" s="200"/>
      <c r="H17" s="8"/>
      <c r="I17" s="35"/>
      <c r="J17" s="35"/>
      <c r="K17" s="35"/>
      <c r="L17" s="32"/>
      <c r="M17" s="31"/>
      <c r="N17" s="24"/>
      <c r="O17" s="31"/>
      <c r="P17" s="35"/>
      <c r="Q17" s="35"/>
      <c r="R17" s="35"/>
      <c r="S17" s="84"/>
      <c r="T17" s="35"/>
      <c r="U17" s="35"/>
      <c r="V17" s="35"/>
    </row>
    <row r="18" spans="1:22" x14ac:dyDescent="0.25">
      <c r="A18" s="59" t="s">
        <v>295</v>
      </c>
      <c r="B18" s="59" t="s">
        <v>549</v>
      </c>
      <c r="D18" s="57">
        <v>2</v>
      </c>
      <c r="E18" s="31" t="s">
        <v>326</v>
      </c>
      <c r="F18" s="31"/>
      <c r="G18" s="8"/>
      <c r="H18" s="33">
        <f>+INDEX('2025 Billing Determinants'!B:B,MATCH('2027 LS Rate Class E-13c'!A18,'2025 Billing Determinants'!A:A,0))</f>
        <v>86098</v>
      </c>
      <c r="I18" s="32" t="s">
        <v>328</v>
      </c>
      <c r="J18" s="39">
        <f>+INDEX('2026 Base Rates'!E:E,MATCH('2027 LS Rate Class E-13c'!B18,'2026 Base Rates'!D:D,0))</f>
        <v>0.71</v>
      </c>
      <c r="K18" s="32"/>
      <c r="L18" s="32">
        <f>+H18*J18</f>
        <v>61129.579999999994</v>
      </c>
      <c r="M18" s="33"/>
      <c r="N18" s="42"/>
      <c r="O18" s="33">
        <f>+INDEX('2025 Billing Determinants'!B:B,MATCH('2027 LS Rate Class E-13c'!A18,'2025 Billing Determinants'!A:A,0))</f>
        <v>86098</v>
      </c>
      <c r="P18" s="32" t="s">
        <v>328</v>
      </c>
      <c r="Q18" s="39">
        <f>+J18</f>
        <v>0.71</v>
      </c>
      <c r="R18" s="32"/>
      <c r="S18" s="32">
        <f>+O18*Q18</f>
        <v>61129.579999999994</v>
      </c>
      <c r="T18" s="32"/>
      <c r="U18" s="32">
        <f>+S18-L18</f>
        <v>0</v>
      </c>
      <c r="V18" s="41">
        <f>+IF(U18=0,0,(S18-L18)/L18)</f>
        <v>0</v>
      </c>
    </row>
    <row r="19" spans="1:22" x14ac:dyDescent="0.25">
      <c r="A19" s="59"/>
      <c r="B19" s="59"/>
      <c r="D19" s="57">
        <v>3</v>
      </c>
      <c r="E19" s="8"/>
      <c r="F19" s="8"/>
      <c r="G19" s="8"/>
      <c r="H19" s="33"/>
      <c r="I19" s="32"/>
      <c r="J19" s="47"/>
      <c r="K19" s="8"/>
      <c r="L19" s="32"/>
      <c r="M19" s="8"/>
      <c r="N19" s="57"/>
      <c r="O19" s="33"/>
      <c r="P19" s="32"/>
      <c r="Q19" s="47"/>
      <c r="R19" s="8"/>
      <c r="S19" s="32"/>
      <c r="T19" s="8"/>
      <c r="U19" s="8"/>
      <c r="V19" s="43"/>
    </row>
    <row r="20" spans="1:22" x14ac:dyDescent="0.25">
      <c r="A20" s="59" t="s">
        <v>296</v>
      </c>
      <c r="B20" s="59" t="s">
        <v>497</v>
      </c>
      <c r="D20" s="57">
        <v>4</v>
      </c>
      <c r="E20" s="31" t="s">
        <v>808</v>
      </c>
      <c r="F20" s="8"/>
      <c r="G20" s="8"/>
      <c r="H20" s="33">
        <f>+INDEX('2025 Billing Determinants'!B:B,MATCH('2027 LS Rate Class E-13c'!A20,'2025 Billing Determinants'!A:A,0))+INDEX('2025 Billing Determinants'!B:B,MATCH('2027 LS Rate Class E-13c'!A21,'2025 Billing Determinants'!A:A,0))+INDEX('2025 Billing Determinants'!B:B,MATCH('2027 LS Rate Class E-13c'!A22,'2025 Billing Determinants'!A:A,0))+INDEX('2025 Billing Determinants'!B:B,MATCH('2027 LS Rate Class E-13c'!A23,'2025 Billing Determinants'!A:A,0))</f>
        <v>107727525.26000001</v>
      </c>
      <c r="I20" s="32" t="s">
        <v>710</v>
      </c>
      <c r="J20" s="48">
        <f>+INDEX('2026 Base Rates'!E:E,MATCH('2027 LS Rate Class E-13c'!B20,'2026 Base Rates'!D:D,0))</f>
        <v>3.2599999999999997E-2</v>
      </c>
      <c r="K20" s="8"/>
      <c r="L20" s="32">
        <f>+H20*J20</f>
        <v>3511917.3234759998</v>
      </c>
      <c r="M20" s="8"/>
      <c r="N20" s="57"/>
      <c r="O20" s="32">
        <f>+INDEX('2025 Billing Determinants'!B:B,MATCH('2027 LS Rate Class E-13c'!A20,'2025 Billing Determinants'!A:A,0))+INDEX('2025 Billing Determinants'!B:B,MATCH('2027 LS Rate Class E-13c'!A21,'2025 Billing Determinants'!A:A,0))+INDEX('2025 Billing Determinants'!B:B,MATCH('2027 LS Rate Class E-13c'!A22,'2025 Billing Determinants'!A:A,0))+INDEX('2025 Billing Determinants'!B:B,MATCH('2027 LS Rate Class E-13c'!A23,'2025 Billing Determinants'!A:A,0))</f>
        <v>107727525.26000001</v>
      </c>
      <c r="P20" s="32" t="s">
        <v>710</v>
      </c>
      <c r="Q20" s="106">
        <f>+J20</f>
        <v>3.2599999999999997E-2</v>
      </c>
      <c r="R20" s="8"/>
      <c r="S20" s="32">
        <f>+O20*Q20</f>
        <v>3511917.3234759998</v>
      </c>
      <c r="T20" s="8"/>
      <c r="U20" s="32">
        <f>+S20-L20</f>
        <v>0</v>
      </c>
      <c r="V20" s="41">
        <f>+IF(U20=0,0,(S20-L20)/L20)</f>
        <v>0</v>
      </c>
    </row>
    <row r="21" spans="1:22" x14ac:dyDescent="0.25">
      <c r="A21" s="59" t="s">
        <v>297</v>
      </c>
      <c r="B21" s="59"/>
      <c r="D21" s="57">
        <v>5</v>
      </c>
      <c r="E21" s="31"/>
      <c r="F21" s="8"/>
      <c r="G21" s="8"/>
      <c r="H21" s="33"/>
      <c r="I21" s="32"/>
      <c r="J21" s="47"/>
      <c r="K21" s="8"/>
      <c r="L21" s="32"/>
      <c r="M21" s="8"/>
      <c r="N21" s="57"/>
      <c r="O21" s="33"/>
      <c r="P21" s="32"/>
      <c r="Q21" s="47"/>
      <c r="R21" s="8"/>
      <c r="S21" s="32"/>
      <c r="T21" s="8"/>
      <c r="U21" s="8"/>
      <c r="V21" s="43"/>
    </row>
    <row r="22" spans="1:22" x14ac:dyDescent="0.25">
      <c r="A22" s="59" t="s">
        <v>298</v>
      </c>
      <c r="B22" s="59"/>
      <c r="D22" s="57">
        <v>6</v>
      </c>
      <c r="E22" s="8"/>
      <c r="F22" s="8"/>
      <c r="G22" s="8"/>
      <c r="H22" s="33"/>
      <c r="I22" s="32"/>
      <c r="J22" s="47"/>
      <c r="K22" s="8"/>
      <c r="L22" s="32"/>
      <c r="M22" s="8"/>
      <c r="N22" s="57"/>
      <c r="O22" s="33"/>
      <c r="P22" s="32"/>
      <c r="Q22" s="47"/>
      <c r="R22" s="8"/>
      <c r="S22" s="32"/>
      <c r="T22" s="8"/>
      <c r="U22" s="8"/>
      <c r="V22" s="43"/>
    </row>
    <row r="23" spans="1:22" ht="15.75" thickBot="1" x14ac:dyDescent="0.3">
      <c r="A23" s="59" t="s">
        <v>299</v>
      </c>
      <c r="B23" s="59"/>
      <c r="D23" s="57">
        <v>7</v>
      </c>
      <c r="E23" s="31" t="s">
        <v>336</v>
      </c>
      <c r="F23" s="8"/>
      <c r="G23" s="8"/>
      <c r="H23" s="33"/>
      <c r="I23" s="32"/>
      <c r="J23" s="47"/>
      <c r="K23" s="8"/>
      <c r="L23" s="103">
        <f>+L18+L20</f>
        <v>3573046.9034759998</v>
      </c>
      <c r="M23" s="8"/>
      <c r="N23" s="57"/>
      <c r="O23" s="33"/>
      <c r="P23" s="32"/>
      <c r="Q23" s="47"/>
      <c r="R23" s="8"/>
      <c r="S23" s="103">
        <f>+S18+S20</f>
        <v>3573046.9034759998</v>
      </c>
      <c r="T23" s="8"/>
      <c r="U23" s="32">
        <f>+U18+U20</f>
        <v>0</v>
      </c>
      <c r="V23" s="41">
        <f>+IF(U23=0,0,(S23-L23)/L23)</f>
        <v>0</v>
      </c>
    </row>
    <row r="24" spans="1:22" ht="15.75" thickTop="1" x14ac:dyDescent="0.25">
      <c r="D24" s="57">
        <v>8</v>
      </c>
      <c r="E24" s="8"/>
      <c r="F24" s="8"/>
      <c r="G24" s="8"/>
      <c r="H24" s="32"/>
      <c r="I24" s="32"/>
      <c r="J24" s="39"/>
      <c r="K24" s="8"/>
      <c r="L24" s="32"/>
      <c r="M24" s="8"/>
      <c r="N24" s="57"/>
      <c r="O24" s="32"/>
      <c r="P24" s="32"/>
      <c r="Q24" s="39"/>
      <c r="R24" s="8"/>
      <c r="S24" s="32"/>
      <c r="T24" s="8"/>
      <c r="U24" s="8"/>
      <c r="V24" s="43"/>
    </row>
    <row r="25" spans="1:22" x14ac:dyDescent="0.25">
      <c r="D25" s="57">
        <v>9</v>
      </c>
      <c r="E25" s="8"/>
      <c r="F25" s="8"/>
      <c r="G25" s="8"/>
      <c r="H25" s="32"/>
      <c r="I25" s="32"/>
      <c r="J25" s="39"/>
      <c r="K25" s="8"/>
      <c r="L25" s="32"/>
      <c r="M25" s="8"/>
      <c r="N25" s="57"/>
      <c r="O25" s="32"/>
      <c r="P25" s="32"/>
      <c r="Q25" s="39"/>
      <c r="R25" s="8"/>
      <c r="S25" s="32"/>
      <c r="T25" s="8"/>
      <c r="U25" s="8"/>
      <c r="V25" s="43"/>
    </row>
    <row r="26" spans="1:22" x14ac:dyDescent="0.25">
      <c r="D26" s="57">
        <v>10</v>
      </c>
      <c r="E26" s="8"/>
      <c r="F26" s="8"/>
      <c r="G26" s="8"/>
      <c r="H26" s="32"/>
      <c r="I26" s="32"/>
      <c r="J26" s="39"/>
      <c r="K26" s="8"/>
      <c r="L26" s="32"/>
      <c r="M26" s="8"/>
      <c r="N26" s="57"/>
      <c r="O26" s="32"/>
      <c r="P26" s="32"/>
      <c r="Q26" s="39"/>
      <c r="R26" s="8"/>
      <c r="S26" s="32"/>
      <c r="T26" s="8"/>
      <c r="U26" s="8"/>
      <c r="V26" s="43"/>
    </row>
    <row r="27" spans="1:22" x14ac:dyDescent="0.25">
      <c r="D27" s="57">
        <v>11</v>
      </c>
      <c r="E27" s="31"/>
      <c r="F27" s="35"/>
      <c r="G27" s="8"/>
      <c r="H27" s="49"/>
      <c r="I27" s="32"/>
      <c r="J27" s="32"/>
      <c r="K27" s="32"/>
      <c r="L27" s="32"/>
      <c r="M27" s="32"/>
      <c r="N27" s="42"/>
      <c r="O27" s="32"/>
      <c r="P27" s="32"/>
      <c r="Q27" s="32"/>
      <c r="R27" s="32"/>
      <c r="S27" s="32"/>
      <c r="T27" s="8"/>
      <c r="U27" s="8"/>
      <c r="V27" s="43"/>
    </row>
    <row r="28" spans="1:22" x14ac:dyDescent="0.25">
      <c r="D28" s="57">
        <v>12</v>
      </c>
      <c r="E28" s="8"/>
      <c r="F28" s="8"/>
      <c r="G28" s="8"/>
      <c r="H28" s="8"/>
      <c r="I28" s="8"/>
      <c r="J28" s="8"/>
      <c r="K28" s="8"/>
      <c r="L28" s="32"/>
      <c r="M28" s="8"/>
      <c r="N28" s="57"/>
      <c r="O28" s="8"/>
      <c r="P28" s="8"/>
      <c r="Q28" s="8"/>
      <c r="R28" s="8"/>
      <c r="S28" s="49"/>
      <c r="T28" s="8"/>
      <c r="U28" s="8"/>
      <c r="V28" s="8"/>
    </row>
    <row r="29" spans="1:22" x14ac:dyDescent="0.25">
      <c r="D29" s="57">
        <v>13</v>
      </c>
      <c r="E29" s="199"/>
      <c r="F29" s="199"/>
      <c r="G29" s="199"/>
      <c r="H29" s="8"/>
      <c r="I29" s="8"/>
      <c r="J29" s="8"/>
      <c r="K29" s="8"/>
      <c r="L29" s="32"/>
      <c r="M29" s="8"/>
      <c r="N29" s="57"/>
      <c r="O29" s="8"/>
      <c r="P29" s="8"/>
      <c r="Q29" s="8"/>
      <c r="R29" s="8"/>
      <c r="S29" s="49"/>
      <c r="T29" s="8"/>
      <c r="U29" s="8"/>
      <c r="V29" s="8"/>
    </row>
    <row r="30" spans="1:22" x14ac:dyDescent="0.25">
      <c r="D30" s="57">
        <v>14</v>
      </c>
      <c r="E30" s="31"/>
      <c r="F30" s="8"/>
      <c r="G30" s="8"/>
      <c r="H30" s="32"/>
      <c r="I30" s="32"/>
      <c r="J30" s="197"/>
      <c r="K30" s="8"/>
      <c r="L30" s="32"/>
      <c r="M30" s="8"/>
      <c r="N30" s="57"/>
      <c r="O30" s="32"/>
      <c r="P30" s="32"/>
      <c r="Q30" s="43"/>
      <c r="R30" s="8"/>
      <c r="S30" s="32"/>
      <c r="T30" s="8"/>
      <c r="U30" s="8"/>
      <c r="V30" s="43"/>
    </row>
    <row r="31" spans="1:22" x14ac:dyDescent="0.25">
      <c r="D31" s="57">
        <v>15</v>
      </c>
      <c r="E31" s="31"/>
      <c r="F31" s="8"/>
      <c r="G31" s="8"/>
      <c r="H31" s="32"/>
      <c r="I31" s="32"/>
      <c r="J31" s="197"/>
      <c r="K31" s="8"/>
      <c r="L31" s="32"/>
      <c r="M31" s="8"/>
      <c r="N31" s="57"/>
      <c r="O31" s="32"/>
      <c r="P31" s="32"/>
      <c r="Q31" s="43"/>
      <c r="R31" s="8"/>
      <c r="S31" s="32"/>
      <c r="T31" s="8"/>
      <c r="U31" s="8"/>
      <c r="V31" s="43"/>
    </row>
    <row r="32" spans="1:22" x14ac:dyDescent="0.25">
      <c r="D32" s="57">
        <v>16</v>
      </c>
      <c r="E32" s="8"/>
      <c r="F32" s="8"/>
      <c r="G32" s="8"/>
      <c r="H32" s="32"/>
      <c r="I32" s="32"/>
      <c r="J32" s="197"/>
      <c r="K32" s="8"/>
      <c r="L32" s="32"/>
      <c r="M32" s="8"/>
      <c r="N32" s="57"/>
      <c r="O32" s="32"/>
      <c r="P32" s="32"/>
      <c r="Q32" s="43"/>
      <c r="R32" s="8"/>
      <c r="S32" s="32"/>
      <c r="T32" s="8"/>
      <c r="U32" s="8"/>
      <c r="V32" s="43"/>
    </row>
    <row r="33" spans="4:22" x14ac:dyDescent="0.25">
      <c r="D33" s="57">
        <v>17</v>
      </c>
      <c r="E33" s="8"/>
      <c r="F33" s="8"/>
      <c r="G33" s="8"/>
      <c r="H33" s="32"/>
      <c r="I33" s="32"/>
      <c r="J33" s="197"/>
      <c r="K33" s="8"/>
      <c r="L33" s="32"/>
      <c r="M33" s="8"/>
      <c r="N33" s="57"/>
      <c r="O33" s="32"/>
      <c r="P33" s="32"/>
      <c r="Q33" s="43"/>
      <c r="R33" s="8"/>
      <c r="S33" s="32"/>
      <c r="T33" s="8"/>
      <c r="U33" s="8"/>
      <c r="V33" s="43"/>
    </row>
    <row r="34" spans="4:22" x14ac:dyDescent="0.25">
      <c r="D34" s="57">
        <v>18</v>
      </c>
      <c r="E34" s="199"/>
      <c r="F34" s="199"/>
      <c r="G34" s="199"/>
      <c r="H34" s="8"/>
      <c r="I34" s="8"/>
      <c r="J34" s="197"/>
      <c r="K34" s="8"/>
      <c r="L34" s="32"/>
      <c r="M34" s="8"/>
      <c r="N34" s="57"/>
      <c r="O34" s="8"/>
      <c r="P34" s="8"/>
      <c r="Q34" s="43"/>
      <c r="R34" s="8"/>
      <c r="S34" s="49"/>
      <c r="T34" s="8"/>
      <c r="U34" s="8"/>
      <c r="V34" s="8"/>
    </row>
    <row r="35" spans="4:22" x14ac:dyDescent="0.25">
      <c r="D35" s="57">
        <v>19</v>
      </c>
      <c r="E35" s="8"/>
      <c r="F35" s="8"/>
      <c r="G35" s="8"/>
      <c r="H35" s="32"/>
      <c r="I35" s="32"/>
      <c r="J35" s="197"/>
      <c r="K35" s="32"/>
      <c r="L35" s="32"/>
      <c r="M35" s="32"/>
      <c r="N35" s="42"/>
      <c r="O35" s="32"/>
      <c r="P35" s="32"/>
      <c r="Q35" s="43"/>
      <c r="R35" s="32"/>
      <c r="S35" s="32"/>
      <c r="T35" s="32"/>
      <c r="U35" s="32"/>
      <c r="V35" s="43"/>
    </row>
    <row r="36" spans="4:22" x14ac:dyDescent="0.25">
      <c r="D36" s="57">
        <v>20</v>
      </c>
      <c r="E36" s="8"/>
      <c r="F36" s="35"/>
      <c r="G36" s="8"/>
      <c r="H36" s="32"/>
      <c r="I36" s="32"/>
      <c r="J36" s="197"/>
      <c r="K36" s="32"/>
      <c r="L36" s="32"/>
      <c r="M36" s="32"/>
      <c r="N36" s="42"/>
      <c r="O36" s="32"/>
      <c r="P36" s="32"/>
      <c r="Q36" s="43"/>
      <c r="R36" s="32"/>
      <c r="S36" s="32"/>
      <c r="T36" s="32"/>
      <c r="U36" s="32"/>
      <c r="V36" s="43"/>
    </row>
    <row r="37" spans="4:22" x14ac:dyDescent="0.25">
      <c r="D37" s="57">
        <v>21</v>
      </c>
      <c r="E37" s="31"/>
      <c r="F37" s="35"/>
      <c r="G37" s="8"/>
      <c r="H37" s="32"/>
      <c r="I37" s="32"/>
      <c r="J37" s="32"/>
      <c r="K37" s="32"/>
      <c r="L37" s="32"/>
      <c r="M37" s="32"/>
      <c r="N37" s="42"/>
      <c r="O37" s="32"/>
      <c r="P37" s="32"/>
      <c r="Q37" s="32"/>
      <c r="R37" s="32"/>
      <c r="S37" s="32"/>
      <c r="T37" s="8"/>
      <c r="U37" s="8"/>
      <c r="V37" s="43"/>
    </row>
    <row r="38" spans="4:22" x14ac:dyDescent="0.25">
      <c r="D38" s="57">
        <v>22</v>
      </c>
      <c r="E38" s="8"/>
      <c r="F38" s="8"/>
      <c r="G38" s="8"/>
      <c r="H38" s="8"/>
      <c r="I38" s="8"/>
      <c r="J38" s="8"/>
      <c r="K38" s="8"/>
      <c r="L38" s="32"/>
      <c r="M38" s="8"/>
      <c r="N38" s="57"/>
      <c r="O38" s="8"/>
      <c r="P38" s="8"/>
      <c r="Q38" s="8"/>
      <c r="R38" s="8"/>
      <c r="S38" s="49"/>
      <c r="T38" s="8"/>
      <c r="U38" s="8"/>
      <c r="V38" s="8"/>
    </row>
    <row r="39" spans="4:22" x14ac:dyDescent="0.25">
      <c r="D39" s="57">
        <v>23</v>
      </c>
      <c r="E39" s="31"/>
      <c r="F39" s="8"/>
      <c r="G39" s="8"/>
      <c r="H39" s="8"/>
      <c r="I39" s="8"/>
      <c r="J39" s="8"/>
      <c r="K39" s="8"/>
      <c r="L39" s="35"/>
      <c r="M39" s="32"/>
      <c r="N39" s="42"/>
      <c r="O39" s="32"/>
      <c r="P39" s="32"/>
      <c r="Q39" s="32"/>
      <c r="R39" s="32"/>
      <c r="S39" s="35"/>
      <c r="T39" s="32"/>
      <c r="U39" s="32"/>
      <c r="V39" s="43"/>
    </row>
    <row r="40" spans="4:22" x14ac:dyDescent="0.25">
      <c r="D40" s="57">
        <v>24</v>
      </c>
      <c r="E40" s="35"/>
      <c r="F40" s="8"/>
      <c r="G40" s="8"/>
      <c r="H40" s="32"/>
      <c r="I40" s="32"/>
      <c r="J40" s="39"/>
      <c r="K40" s="8"/>
      <c r="L40" s="32"/>
      <c r="M40" s="8"/>
      <c r="N40" s="57"/>
      <c r="O40" s="32"/>
      <c r="P40" s="32"/>
      <c r="Q40" s="39"/>
      <c r="R40" s="8"/>
      <c r="S40" s="52"/>
      <c r="T40" s="8"/>
      <c r="U40" s="8"/>
      <c r="V40" s="43"/>
    </row>
    <row r="41" spans="4:22" x14ac:dyDescent="0.25">
      <c r="D41" s="57">
        <v>25</v>
      </c>
      <c r="E41" s="35"/>
      <c r="F41" s="8"/>
      <c r="G41" s="8"/>
      <c r="H41" s="32"/>
      <c r="I41" s="32"/>
      <c r="J41" s="39"/>
      <c r="K41" s="8"/>
      <c r="L41" s="75"/>
      <c r="M41" s="8"/>
      <c r="N41" s="57"/>
      <c r="O41" s="32"/>
      <c r="P41" s="32"/>
      <c r="Q41" s="39"/>
      <c r="R41" s="8"/>
      <c r="S41" s="52"/>
      <c r="T41" s="8"/>
      <c r="U41" s="8"/>
      <c r="V41" s="43"/>
    </row>
    <row r="42" spans="4:22" x14ac:dyDescent="0.25">
      <c r="D42" s="57">
        <v>26</v>
      </c>
      <c r="E42" s="8"/>
      <c r="F42" s="8"/>
      <c r="G42" s="8"/>
      <c r="H42" s="32"/>
      <c r="I42" s="32"/>
      <c r="J42" s="39"/>
      <c r="K42" s="8"/>
      <c r="L42" s="75"/>
      <c r="M42" s="8"/>
      <c r="N42" s="57"/>
      <c r="O42" s="32"/>
      <c r="P42" s="32"/>
      <c r="Q42" s="39"/>
      <c r="R42" s="8"/>
      <c r="S42" s="52"/>
      <c r="T42" s="8"/>
      <c r="U42" s="8"/>
      <c r="V42" s="43"/>
    </row>
    <row r="43" spans="4:22" x14ac:dyDescent="0.25">
      <c r="D43" s="57">
        <v>27</v>
      </c>
      <c r="E43" s="8"/>
      <c r="F43" s="8"/>
      <c r="G43" s="8"/>
      <c r="H43" s="32"/>
      <c r="I43" s="32"/>
      <c r="J43" s="39"/>
      <c r="K43" s="8"/>
      <c r="L43" s="75"/>
      <c r="M43" s="8"/>
      <c r="N43" s="57"/>
      <c r="O43" s="32"/>
      <c r="P43" s="32"/>
      <c r="Q43" s="39"/>
      <c r="R43" s="8"/>
      <c r="S43" s="52"/>
      <c r="T43" s="8"/>
      <c r="U43" s="8"/>
      <c r="V43" s="43"/>
    </row>
    <row r="44" spans="4:22" x14ac:dyDescent="0.25">
      <c r="D44" s="57">
        <v>28</v>
      </c>
      <c r="E44" s="35"/>
      <c r="F44" s="35"/>
      <c r="G44" s="8"/>
      <c r="H44" s="32"/>
      <c r="I44" s="32"/>
      <c r="J44" s="39"/>
      <c r="K44" s="8"/>
      <c r="L44" s="75"/>
      <c r="M44" s="8"/>
      <c r="N44" s="57"/>
      <c r="O44" s="32"/>
      <c r="P44" s="32"/>
      <c r="Q44" s="39"/>
      <c r="R44" s="8"/>
      <c r="S44" s="52"/>
      <c r="T44" s="8"/>
      <c r="U44" s="8"/>
      <c r="V44" s="43"/>
    </row>
    <row r="45" spans="4:22" x14ac:dyDescent="0.25">
      <c r="D45" s="57">
        <v>29</v>
      </c>
      <c r="E45" s="8"/>
      <c r="F45" s="35"/>
      <c r="G45" s="8"/>
      <c r="H45" s="32"/>
      <c r="I45" s="32"/>
      <c r="J45" s="39"/>
      <c r="K45" s="8"/>
      <c r="L45" s="75"/>
      <c r="M45" s="8"/>
      <c r="N45" s="57"/>
      <c r="O45" s="32"/>
      <c r="P45" s="32"/>
      <c r="Q45" s="39"/>
      <c r="R45" s="8"/>
      <c r="S45" s="52"/>
      <c r="T45" s="8"/>
      <c r="U45" s="8"/>
      <c r="V45" s="43"/>
    </row>
    <row r="46" spans="4:22" x14ac:dyDescent="0.25">
      <c r="D46" s="57">
        <v>30</v>
      </c>
      <c r="E46" s="8"/>
      <c r="F46" s="8"/>
      <c r="G46" s="8"/>
      <c r="H46" s="32"/>
      <c r="I46" s="32"/>
      <c r="J46" s="39"/>
      <c r="K46" s="8"/>
      <c r="L46" s="75"/>
      <c r="M46" s="8"/>
      <c r="N46" s="57"/>
      <c r="O46" s="32"/>
      <c r="P46" s="32"/>
      <c r="Q46" s="39"/>
      <c r="R46" s="8"/>
      <c r="S46" s="52"/>
      <c r="T46" s="8"/>
      <c r="U46" s="8"/>
      <c r="V46" s="43"/>
    </row>
    <row r="47" spans="4:22" x14ac:dyDescent="0.25">
      <c r="D47" s="57">
        <v>31</v>
      </c>
      <c r="E47" s="35"/>
      <c r="F47" s="35"/>
      <c r="G47" s="8"/>
      <c r="H47" s="32"/>
      <c r="I47" s="8"/>
      <c r="J47" s="8"/>
      <c r="K47" s="8"/>
      <c r="L47" s="198"/>
      <c r="M47" s="8"/>
      <c r="N47" s="57"/>
      <c r="O47" s="32"/>
      <c r="P47" s="8"/>
      <c r="Q47" s="8"/>
      <c r="R47" s="8"/>
      <c r="S47" s="68"/>
      <c r="T47" s="8"/>
      <c r="U47" s="8"/>
      <c r="V47" s="43"/>
    </row>
    <row r="48" spans="4:22" x14ac:dyDescent="0.25">
      <c r="D48" s="57">
        <v>32</v>
      </c>
      <c r="E48" s="8"/>
      <c r="F48" s="8"/>
      <c r="G48" s="8"/>
      <c r="H48" s="8"/>
      <c r="I48" s="8"/>
      <c r="J48" s="8"/>
      <c r="K48" s="8"/>
      <c r="L48" s="198"/>
      <c r="M48" s="8"/>
      <c r="N48" s="57"/>
      <c r="O48" s="8"/>
      <c r="P48" s="8"/>
      <c r="Q48" s="8"/>
      <c r="R48" s="8"/>
      <c r="S48" s="8"/>
      <c r="T48" s="8"/>
      <c r="U48" s="8"/>
      <c r="V48" s="8"/>
    </row>
    <row r="49" spans="4:22" x14ac:dyDescent="0.25">
      <c r="D49" s="57">
        <v>33</v>
      </c>
      <c r="E49" s="35"/>
      <c r="F49" s="8"/>
      <c r="G49" s="8"/>
      <c r="H49" s="8"/>
      <c r="I49" s="8"/>
      <c r="J49" s="8"/>
      <c r="K49" s="8"/>
      <c r="L49" s="35"/>
      <c r="M49" s="32"/>
      <c r="N49" s="42"/>
      <c r="O49" s="32"/>
      <c r="P49" s="32"/>
      <c r="Q49" s="32"/>
      <c r="R49" s="32"/>
      <c r="S49" s="39"/>
      <c r="T49" s="32"/>
      <c r="U49" s="32"/>
      <c r="V49" s="43"/>
    </row>
    <row r="50" spans="4:22" x14ac:dyDescent="0.25">
      <c r="D50" s="57">
        <v>34</v>
      </c>
      <c r="E50" s="30"/>
      <c r="F50" s="35"/>
      <c r="G50" s="8"/>
      <c r="H50" s="8"/>
      <c r="I50" s="32"/>
      <c r="J50" s="32"/>
      <c r="K50" s="32"/>
      <c r="L50" s="75"/>
      <c r="M50" s="32"/>
      <c r="N50" s="42"/>
      <c r="O50" s="32"/>
      <c r="P50" s="32"/>
      <c r="Q50" s="32"/>
      <c r="R50" s="32"/>
      <c r="S50" s="32"/>
      <c r="T50" s="32"/>
      <c r="U50" s="32"/>
      <c r="V50" s="32"/>
    </row>
    <row r="51" spans="4:22" x14ac:dyDescent="0.25">
      <c r="D51" s="57">
        <v>35</v>
      </c>
      <c r="E51" s="35"/>
      <c r="F51" s="35"/>
      <c r="G51" s="8"/>
      <c r="H51" s="8"/>
      <c r="I51" s="32"/>
      <c r="J51" s="32"/>
      <c r="K51" s="32"/>
      <c r="L51" s="35"/>
      <c r="M51" s="32"/>
      <c r="N51" s="42"/>
      <c r="O51" s="32"/>
      <c r="P51" s="32"/>
      <c r="Q51" s="32"/>
      <c r="R51" s="32"/>
      <c r="S51" s="39"/>
      <c r="T51" s="32"/>
      <c r="U51" s="32"/>
      <c r="V51" s="53"/>
    </row>
    <row r="52" spans="4:22" x14ac:dyDescent="0.25">
      <c r="D52" s="57">
        <v>36</v>
      </c>
      <c r="E52" s="35"/>
      <c r="F52" s="35"/>
      <c r="G52" s="8"/>
      <c r="H52" s="8"/>
      <c r="I52" s="32"/>
      <c r="J52" s="32"/>
      <c r="K52" s="32"/>
      <c r="L52" s="35"/>
      <c r="M52" s="32"/>
      <c r="N52" s="42"/>
      <c r="O52" s="32"/>
      <c r="P52" s="32"/>
      <c r="Q52" s="32"/>
      <c r="R52" s="32"/>
      <c r="S52" s="39"/>
      <c r="T52" s="32"/>
      <c r="U52" s="32"/>
      <c r="V52" s="53"/>
    </row>
    <row r="53" spans="4:22" x14ac:dyDescent="0.25">
      <c r="D53" s="57">
        <v>37</v>
      </c>
      <c r="E53" s="35"/>
      <c r="F53" s="35"/>
      <c r="G53" s="8"/>
      <c r="H53" s="8"/>
      <c r="I53" s="32"/>
      <c r="J53" s="32"/>
      <c r="K53" s="32"/>
      <c r="L53" s="35"/>
      <c r="M53" s="32"/>
      <c r="N53" s="42"/>
      <c r="O53" s="32"/>
      <c r="P53" s="32"/>
      <c r="Q53" s="32"/>
      <c r="R53" s="32"/>
      <c r="S53" s="39"/>
      <c r="T53" s="32"/>
      <c r="U53" s="32"/>
      <c r="V53" s="53"/>
    </row>
    <row r="54" spans="4:22" x14ac:dyDescent="0.25">
      <c r="D54" s="57">
        <v>38</v>
      </c>
      <c r="E54" s="35"/>
      <c r="F54" s="35"/>
      <c r="G54" s="8"/>
      <c r="H54" s="8"/>
      <c r="I54" s="32"/>
      <c r="J54" s="32"/>
      <c r="K54" s="32"/>
      <c r="L54" s="35"/>
      <c r="M54" s="32"/>
      <c r="N54" s="42"/>
      <c r="O54" s="32"/>
      <c r="P54" s="32"/>
      <c r="Q54" s="32"/>
      <c r="R54" s="32"/>
      <c r="S54" s="39"/>
      <c r="T54" s="32"/>
      <c r="U54" s="32"/>
      <c r="V54" s="53"/>
    </row>
    <row r="55" spans="4:22" ht="15.75" thickBot="1" x14ac:dyDescent="0.3">
      <c r="D55" s="58">
        <v>39</v>
      </c>
      <c r="E55" s="9"/>
      <c r="F55" s="9"/>
      <c r="G55" s="9"/>
      <c r="H55" s="9"/>
      <c r="I55" s="9"/>
      <c r="J55" s="9"/>
      <c r="K55" s="9"/>
      <c r="L55" s="222"/>
      <c r="M55" s="9"/>
      <c r="N55" s="58"/>
      <c r="O55" s="9"/>
      <c r="P55" s="9"/>
      <c r="Q55" s="9"/>
      <c r="R55" s="9"/>
      <c r="S55" s="9"/>
      <c r="T55" s="9"/>
      <c r="U55" s="9"/>
      <c r="V55" s="9"/>
    </row>
    <row r="56" spans="4:22" x14ac:dyDescent="0.25">
      <c r="D56" s="8"/>
      <c r="E56" s="8"/>
      <c r="F56" s="8"/>
      <c r="G56" s="8"/>
      <c r="H56" s="8"/>
      <c r="I56" s="8"/>
      <c r="J56" s="8"/>
      <c r="K56" s="8"/>
      <c r="L56" s="198"/>
      <c r="M56" s="8"/>
      <c r="N56" s="57"/>
      <c r="O56" s="8"/>
      <c r="P56" s="8"/>
      <c r="Q56" s="8"/>
      <c r="R56" s="8"/>
      <c r="S56" s="8"/>
      <c r="T56" s="8"/>
      <c r="U56" s="8"/>
      <c r="V56" s="8" t="s">
        <v>304</v>
      </c>
    </row>
  </sheetData>
  <mergeCells count="2">
    <mergeCell ref="K3:O3"/>
    <mergeCell ref="K4:O4"/>
  </mergeCells>
  <pageMargins left="0.7" right="0.7" top="0.75" bottom="0.75" header="0.3" footer="0.3"/>
  <pageSetup scale="47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3A8A1-2EB8-4AB1-AC9C-52B5B58A1367}">
  <dimension ref="A1:X373"/>
  <sheetViews>
    <sheetView topLeftCell="A374" zoomScale="90" zoomScaleNormal="90" workbookViewId="0">
      <selection activeCell="D322" sqref="D322:D363"/>
    </sheetView>
  </sheetViews>
  <sheetFormatPr defaultRowHeight="17.100000000000001" customHeight="1" x14ac:dyDescent="0.25"/>
  <cols>
    <col min="1" max="1" width="19" bestFit="1" customWidth="1"/>
    <col min="2" max="2" width="13.28515625" bestFit="1" customWidth="1"/>
    <col min="4" max="4" width="4.140625" customWidth="1"/>
    <col min="5" max="5" width="53" customWidth="1"/>
    <col min="6" max="6" width="7.85546875" customWidth="1"/>
    <col min="7" max="7" width="17.85546875" bestFit="1" customWidth="1"/>
    <col min="9" max="9" width="11.7109375" customWidth="1"/>
    <col min="10" max="10" width="8.7109375" customWidth="1"/>
    <col min="12" max="12" width="10.5703125" customWidth="1"/>
    <col min="14" max="14" width="15" customWidth="1"/>
    <col min="15" max="15" width="16.140625" customWidth="1"/>
    <col min="16" max="16" width="13.42578125" customWidth="1"/>
    <col min="19" max="19" width="13.7109375" customWidth="1"/>
    <col min="20" max="20" width="15.5703125" bestFit="1" customWidth="1"/>
    <col min="22" max="23" width="12.140625" bestFit="1" customWidth="1"/>
  </cols>
  <sheetData>
    <row r="1" spans="1:22" ht="17.100000000000001" customHeight="1" thickBot="1" x14ac:dyDescent="0.3">
      <c r="D1" s="9" t="s">
        <v>942</v>
      </c>
      <c r="E1" s="9"/>
      <c r="F1" s="9"/>
      <c r="G1" s="9"/>
      <c r="H1" s="9"/>
      <c r="I1" s="9" t="s">
        <v>943</v>
      </c>
      <c r="J1" s="9"/>
      <c r="K1" s="9"/>
      <c r="L1" s="9"/>
      <c r="M1" s="9"/>
      <c r="N1" s="9"/>
      <c r="O1" s="9"/>
      <c r="P1" s="9"/>
      <c r="Q1" s="9"/>
      <c r="R1" s="9"/>
      <c r="S1" s="9"/>
      <c r="T1" s="9" t="s">
        <v>944</v>
      </c>
    </row>
    <row r="2" spans="1:22" ht="17.100000000000001" customHeight="1" x14ac:dyDescent="0.25">
      <c r="A2" s="60" t="s">
        <v>711</v>
      </c>
      <c r="B2" s="61">
        <f>+'Operating Revenue Requirement'!F10</f>
        <v>82707820.715172112</v>
      </c>
      <c r="D2" s="8" t="s">
        <v>307</v>
      </c>
      <c r="E2" s="8"/>
      <c r="F2" s="8"/>
      <c r="I2" s="223" t="s">
        <v>945</v>
      </c>
      <c r="J2" s="8" t="s">
        <v>1228</v>
      </c>
      <c r="K2" s="8"/>
      <c r="L2" s="99"/>
      <c r="M2" s="99"/>
      <c r="N2" s="8"/>
      <c r="O2" s="8"/>
      <c r="P2" s="99"/>
      <c r="Q2" s="99" t="s">
        <v>309</v>
      </c>
      <c r="R2" s="8"/>
      <c r="S2" s="8"/>
      <c r="T2" s="10"/>
    </row>
    <row r="3" spans="1:22" ht="17.100000000000001" customHeight="1" x14ac:dyDescent="0.25">
      <c r="D3" s="8"/>
      <c r="E3" s="8"/>
      <c r="F3" s="8"/>
      <c r="G3" s="8"/>
      <c r="H3" s="8"/>
      <c r="I3" s="8"/>
      <c r="J3" s="8" t="s">
        <v>1229</v>
      </c>
      <c r="K3" s="8"/>
      <c r="L3" s="11"/>
      <c r="M3" s="10"/>
      <c r="N3" s="8"/>
      <c r="O3" s="8"/>
      <c r="P3" s="8"/>
      <c r="Q3" s="224"/>
      <c r="R3" s="117" t="s">
        <v>916</v>
      </c>
      <c r="S3" s="116" t="s">
        <v>1512</v>
      </c>
      <c r="T3" s="11"/>
    </row>
    <row r="4" spans="1:22" ht="17.100000000000001" customHeight="1" x14ac:dyDescent="0.25">
      <c r="A4" s="62" t="s">
        <v>713</v>
      </c>
      <c r="B4" s="64">
        <v>0</v>
      </c>
      <c r="D4" s="8" t="s">
        <v>310</v>
      </c>
      <c r="E4" s="8"/>
      <c r="F4" s="8"/>
      <c r="G4" s="8"/>
      <c r="H4" s="8"/>
      <c r="I4" s="8"/>
      <c r="J4" s="8" t="s">
        <v>1230</v>
      </c>
      <c r="K4" s="8"/>
      <c r="L4" s="11"/>
      <c r="M4" s="10"/>
      <c r="N4" s="11"/>
      <c r="O4" s="11"/>
      <c r="P4" s="8"/>
      <c r="Q4" s="11"/>
      <c r="R4" s="265"/>
      <c r="S4" s="116"/>
      <c r="T4" s="11"/>
    </row>
    <row r="5" spans="1:22" ht="17.100000000000001" customHeight="1" x14ac:dyDescent="0.25">
      <c r="A5" s="62" t="s">
        <v>712</v>
      </c>
      <c r="B5" s="63">
        <f>+S341</f>
        <v>82707820.715172112</v>
      </c>
      <c r="D5" s="8"/>
      <c r="E5" s="8"/>
      <c r="F5" s="8"/>
      <c r="G5" s="8"/>
      <c r="H5" s="8"/>
      <c r="I5" s="8"/>
      <c r="J5" s="8" t="s">
        <v>1231</v>
      </c>
      <c r="K5" s="8"/>
      <c r="L5" s="11"/>
      <c r="M5" s="10"/>
      <c r="N5" s="11"/>
      <c r="O5" s="11"/>
      <c r="P5" s="8"/>
      <c r="Q5" s="11"/>
      <c r="R5" s="265"/>
      <c r="S5" s="116"/>
      <c r="T5" s="11"/>
    </row>
    <row r="6" spans="1:22" ht="17.100000000000001" customHeight="1" thickBot="1" x14ac:dyDescent="0.3">
      <c r="D6" s="9" t="s">
        <v>1292</v>
      </c>
      <c r="E6" s="9"/>
      <c r="F6" s="9"/>
      <c r="G6" s="9"/>
      <c r="H6" s="9"/>
      <c r="I6" s="9"/>
      <c r="J6" s="9"/>
      <c r="K6" s="58"/>
      <c r="L6" s="9"/>
      <c r="M6" s="9"/>
      <c r="N6" s="9"/>
      <c r="O6" s="9"/>
      <c r="P6" s="9"/>
      <c r="Q6" s="9"/>
      <c r="R6" s="264"/>
      <c r="S6" s="114" t="s">
        <v>1519</v>
      </c>
      <c r="T6" s="8"/>
    </row>
    <row r="7" spans="1:22" ht="17.100000000000001" customHeight="1" x14ac:dyDescent="0.25">
      <c r="D7" s="225"/>
      <c r="E7" s="383" t="s">
        <v>946</v>
      </c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3"/>
      <c r="Q7" s="383"/>
      <c r="R7" s="383"/>
      <c r="S7" s="383"/>
      <c r="T7" s="383"/>
    </row>
    <row r="8" spans="1:22" ht="17.100000000000001" customHeight="1" x14ac:dyDescent="0.25">
      <c r="D8" s="8"/>
      <c r="E8" s="57"/>
      <c r="F8" s="12"/>
      <c r="G8" s="12"/>
      <c r="H8" s="12"/>
      <c r="I8" s="12"/>
      <c r="J8" s="12"/>
      <c r="K8" s="384" t="s">
        <v>947</v>
      </c>
      <c r="L8" s="384"/>
      <c r="M8" s="384"/>
      <c r="N8" s="384"/>
      <c r="O8" s="12"/>
      <c r="P8" s="384" t="s">
        <v>871</v>
      </c>
      <c r="Q8" s="384"/>
      <c r="R8" s="384"/>
      <c r="S8" s="384"/>
      <c r="T8" s="12"/>
    </row>
    <row r="9" spans="1:22" ht="17.100000000000001" customHeight="1" x14ac:dyDescent="0.25">
      <c r="D9" s="8"/>
      <c r="E9" s="57"/>
      <c r="F9" s="12"/>
      <c r="G9" s="57" t="s">
        <v>948</v>
      </c>
      <c r="H9" s="12" t="s">
        <v>949</v>
      </c>
      <c r="I9" s="57"/>
      <c r="J9" s="57"/>
      <c r="K9" s="57" t="s">
        <v>950</v>
      </c>
      <c r="L9" s="57" t="s">
        <v>950</v>
      </c>
      <c r="M9" s="57" t="s">
        <v>951</v>
      </c>
      <c r="N9" s="12" t="s">
        <v>806</v>
      </c>
      <c r="O9" s="12"/>
      <c r="P9" s="57" t="s">
        <v>950</v>
      </c>
      <c r="Q9" s="57" t="s">
        <v>950</v>
      </c>
      <c r="R9" s="57" t="s">
        <v>951</v>
      </c>
      <c r="S9" s="57" t="s">
        <v>806</v>
      </c>
      <c r="T9" s="57"/>
    </row>
    <row r="10" spans="1:22" ht="17.100000000000001" customHeight="1" x14ac:dyDescent="0.25">
      <c r="D10" s="57" t="s">
        <v>313</v>
      </c>
      <c r="E10" s="378" t="s">
        <v>314</v>
      </c>
      <c r="F10" s="378"/>
      <c r="G10" s="57" t="s">
        <v>952</v>
      </c>
      <c r="H10" s="57" t="s">
        <v>950</v>
      </c>
      <c r="I10" s="12" t="s">
        <v>948</v>
      </c>
      <c r="J10" s="12"/>
      <c r="K10" s="12" t="s">
        <v>953</v>
      </c>
      <c r="L10" s="12" t="s">
        <v>954</v>
      </c>
      <c r="M10" s="12" t="s">
        <v>950</v>
      </c>
      <c r="N10" s="57" t="s">
        <v>335</v>
      </c>
      <c r="O10" s="57"/>
      <c r="P10" s="12" t="s">
        <v>953</v>
      </c>
      <c r="Q10" s="12" t="s">
        <v>954</v>
      </c>
      <c r="R10" s="12" t="s">
        <v>950</v>
      </c>
      <c r="S10" s="12" t="s">
        <v>335</v>
      </c>
      <c r="T10" s="12" t="s">
        <v>855</v>
      </c>
      <c r="V10" s="57"/>
    </row>
    <row r="11" spans="1:22" ht="17.100000000000001" customHeight="1" thickBot="1" x14ac:dyDescent="0.3">
      <c r="D11" s="58" t="s">
        <v>319</v>
      </c>
      <c r="E11" s="379" t="s">
        <v>953</v>
      </c>
      <c r="F11" s="379"/>
      <c r="G11" s="58" t="s">
        <v>955</v>
      </c>
      <c r="H11" s="58" t="s">
        <v>710</v>
      </c>
      <c r="I11" s="14" t="s">
        <v>710</v>
      </c>
      <c r="J11" s="14"/>
      <c r="K11" s="14" t="s">
        <v>956</v>
      </c>
      <c r="L11" s="14" t="s">
        <v>956</v>
      </c>
      <c r="M11" s="14" t="s">
        <v>956</v>
      </c>
      <c r="N11" s="14" t="s">
        <v>317</v>
      </c>
      <c r="O11" s="14"/>
      <c r="P11" s="14" t="s">
        <v>956</v>
      </c>
      <c r="Q11" s="14" t="s">
        <v>956</v>
      </c>
      <c r="R11" s="14" t="s">
        <v>956</v>
      </c>
      <c r="S11" s="14" t="s">
        <v>317</v>
      </c>
      <c r="T11" s="14" t="s">
        <v>325</v>
      </c>
    </row>
    <row r="12" spans="1:22" ht="17.100000000000001" customHeight="1" x14ac:dyDescent="0.25">
      <c r="A12" s="85" t="s">
        <v>957</v>
      </c>
      <c r="B12" s="85"/>
      <c r="D12" s="57">
        <v>1</v>
      </c>
      <c r="E12" s="382" t="s">
        <v>958</v>
      </c>
      <c r="F12" s="382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2" ht="17.100000000000001" customHeight="1" x14ac:dyDescent="0.25">
      <c r="A13" s="148">
        <v>800</v>
      </c>
      <c r="B13" s="148"/>
      <c r="D13" s="57">
        <v>2</v>
      </c>
      <c r="E13" s="10" t="s">
        <v>959</v>
      </c>
      <c r="F13" s="11" t="s">
        <v>960</v>
      </c>
      <c r="G13" s="32">
        <f>+SUMIFS('2025 Lighting BDs'!C:C,'2025 Lighting BDs'!B:B,'E-13d'!A13)</f>
        <v>0</v>
      </c>
      <c r="H13" s="32">
        <v>20</v>
      </c>
      <c r="I13" s="32">
        <f t="shared" ref="I13:I29" si="0">+H13*G13</f>
        <v>0</v>
      </c>
      <c r="J13" s="57"/>
      <c r="K13" s="39">
        <f>+SUMIFS('2026 Lighting Rates'!B:B,'2026 Lighting Rates'!A:A,A13)</f>
        <v>4.54</v>
      </c>
      <c r="L13" s="39">
        <f>+SUMIFS('2026 Lighting Rates'!C:C,'2026 Lighting Rates'!A:A,A13)</f>
        <v>2.48</v>
      </c>
      <c r="M13" s="39">
        <f>+K13+L13</f>
        <v>7.02</v>
      </c>
      <c r="N13" s="31">
        <f t="shared" ref="N13:N29" si="1">+M13*G13</f>
        <v>0</v>
      </c>
      <c r="O13" s="31"/>
      <c r="P13" s="47">
        <f>+K13</f>
        <v>4.54</v>
      </c>
      <c r="Q13" s="47">
        <f>+L13</f>
        <v>2.48</v>
      </c>
      <c r="R13" s="47">
        <f>+P13+Q13</f>
        <v>7.02</v>
      </c>
      <c r="S13" s="31">
        <f t="shared" ref="S13:S29" si="2">+R13*G13</f>
        <v>0</v>
      </c>
      <c r="T13" s="183">
        <f>IF(S13=0,0,(S13-N13)/N13)</f>
        <v>0</v>
      </c>
    </row>
    <row r="14" spans="1:22" ht="17.100000000000001" customHeight="1" x14ac:dyDescent="0.25">
      <c r="A14" s="148">
        <v>802</v>
      </c>
      <c r="B14" s="148"/>
      <c r="D14" s="57">
        <v>3</v>
      </c>
      <c r="E14" s="10" t="s">
        <v>961</v>
      </c>
      <c r="F14" s="11" t="s">
        <v>962</v>
      </c>
      <c r="G14" s="32">
        <f>+SUMIFS('2025 Lighting BDs'!C:C,'2025 Lighting BDs'!B:B,'E-13d'!A14)</f>
        <v>0</v>
      </c>
      <c r="H14" s="32">
        <v>29</v>
      </c>
      <c r="I14" s="32">
        <f t="shared" si="0"/>
        <v>0</v>
      </c>
      <c r="J14" s="57"/>
      <c r="K14" s="39">
        <f>+SUMIFS('2026 Lighting Rates'!B:B,'2026 Lighting Rates'!A:A,A14)</f>
        <v>4.6100000000000003</v>
      </c>
      <c r="L14" s="39">
        <f>+SUMIFS('2026 Lighting Rates'!C:C,'2026 Lighting Rates'!A:A,A14)</f>
        <v>2.11</v>
      </c>
      <c r="M14" s="39">
        <f t="shared" ref="M14:M25" si="3">+K14+L14</f>
        <v>6.7200000000000006</v>
      </c>
      <c r="N14" s="31">
        <f t="shared" si="1"/>
        <v>0</v>
      </c>
      <c r="O14" s="32"/>
      <c r="P14" s="47">
        <f t="shared" ref="P14:P29" si="4">+K14</f>
        <v>4.6100000000000003</v>
      </c>
      <c r="Q14" s="47">
        <f t="shared" ref="Q14:Q29" si="5">+L14</f>
        <v>2.11</v>
      </c>
      <c r="R14" s="47">
        <f t="shared" ref="R14:R29" si="6">+P14+Q14</f>
        <v>6.7200000000000006</v>
      </c>
      <c r="S14" s="31">
        <f t="shared" si="2"/>
        <v>0</v>
      </c>
      <c r="T14" s="183">
        <f t="shared" ref="T14:T30" si="7">IF(S14=0,0,(S14-N14)/N14)</f>
        <v>0</v>
      </c>
    </row>
    <row r="15" spans="1:22" ht="17.100000000000001" customHeight="1" x14ac:dyDescent="0.25">
      <c r="A15" s="148">
        <v>803</v>
      </c>
      <c r="B15" s="148"/>
      <c r="D15" s="57">
        <v>4</v>
      </c>
      <c r="E15" s="10" t="s">
        <v>963</v>
      </c>
      <c r="F15" s="11" t="s">
        <v>964</v>
      </c>
      <c r="G15" s="32">
        <f>+SUMIFS('2025 Lighting BDs'!C:C,'2025 Lighting BDs'!B:B,'E-13d'!A15)</f>
        <v>0</v>
      </c>
      <c r="H15" s="32">
        <v>44</v>
      </c>
      <c r="I15" s="32">
        <f t="shared" si="0"/>
        <v>0</v>
      </c>
      <c r="J15" s="57"/>
      <c r="K15" s="39">
        <f>+SUMIFS('2026 Lighting Rates'!B:B,'2026 Lighting Rates'!A:A,A15)</f>
        <v>5.22</v>
      </c>
      <c r="L15" s="39">
        <f>+SUMIFS('2026 Lighting Rates'!C:C,'2026 Lighting Rates'!A:A,A15)</f>
        <v>2.33</v>
      </c>
      <c r="M15" s="39">
        <f t="shared" si="3"/>
        <v>7.55</v>
      </c>
      <c r="N15" s="31">
        <f t="shared" si="1"/>
        <v>0</v>
      </c>
      <c r="O15" s="32"/>
      <c r="P15" s="47">
        <f t="shared" si="4"/>
        <v>5.22</v>
      </c>
      <c r="Q15" s="47">
        <f t="shared" si="5"/>
        <v>2.33</v>
      </c>
      <c r="R15" s="47">
        <f t="shared" si="6"/>
        <v>7.55</v>
      </c>
      <c r="S15" s="31">
        <f t="shared" si="2"/>
        <v>0</v>
      </c>
      <c r="T15" s="183">
        <f t="shared" si="7"/>
        <v>0</v>
      </c>
    </row>
    <row r="16" spans="1:22" ht="17.100000000000001" customHeight="1" x14ac:dyDescent="0.25">
      <c r="A16" s="148">
        <v>804</v>
      </c>
      <c r="B16" s="148"/>
      <c r="D16" s="57">
        <v>5</v>
      </c>
      <c r="E16" s="10" t="s">
        <v>965</v>
      </c>
      <c r="F16" s="11" t="s">
        <v>966</v>
      </c>
      <c r="G16" s="32">
        <f>+SUMIFS('2025 Lighting BDs'!C:C,'2025 Lighting BDs'!B:B,'E-13d'!A16)</f>
        <v>0</v>
      </c>
      <c r="H16" s="32">
        <v>66</v>
      </c>
      <c r="I16" s="32">
        <f t="shared" si="0"/>
        <v>0</v>
      </c>
      <c r="J16" s="57"/>
      <c r="K16" s="39">
        <f>+SUMIFS('2026 Lighting Rates'!B:B,'2026 Lighting Rates'!A:A,A16)</f>
        <v>6.01</v>
      </c>
      <c r="L16" s="39">
        <f>+SUMIFS('2026 Lighting Rates'!C:C,'2026 Lighting Rates'!A:A,A16)</f>
        <v>2.02</v>
      </c>
      <c r="M16" s="39">
        <f t="shared" si="3"/>
        <v>8.0299999999999994</v>
      </c>
      <c r="N16" s="31">
        <f t="shared" si="1"/>
        <v>0</v>
      </c>
      <c r="O16" s="32"/>
      <c r="P16" s="47">
        <f t="shared" si="4"/>
        <v>6.01</v>
      </c>
      <c r="Q16" s="47">
        <f t="shared" si="5"/>
        <v>2.02</v>
      </c>
      <c r="R16" s="47">
        <f t="shared" si="6"/>
        <v>8.0299999999999994</v>
      </c>
      <c r="S16" s="31">
        <f t="shared" si="2"/>
        <v>0</v>
      </c>
      <c r="T16" s="183">
        <f t="shared" si="7"/>
        <v>0</v>
      </c>
    </row>
    <row r="17" spans="1:20" ht="17.100000000000001" customHeight="1" x14ac:dyDescent="0.25">
      <c r="A17" s="148">
        <v>805</v>
      </c>
      <c r="B17" s="148"/>
      <c r="D17" s="57">
        <v>6</v>
      </c>
      <c r="E17" s="10" t="s">
        <v>967</v>
      </c>
      <c r="F17" s="11" t="s">
        <v>968</v>
      </c>
      <c r="G17" s="32">
        <f>+SUMIFS('2025 Lighting BDs'!C:C,'2025 Lighting BDs'!B:B,'E-13d'!A17)</f>
        <v>0</v>
      </c>
      <c r="H17" s="32">
        <v>105</v>
      </c>
      <c r="I17" s="32">
        <f t="shared" si="0"/>
        <v>0</v>
      </c>
      <c r="J17" s="57"/>
      <c r="K17" s="39">
        <f>+SUMIFS('2026 Lighting Rates'!B:B,'2026 Lighting Rates'!A:A,A17)</f>
        <v>7.01</v>
      </c>
      <c r="L17" s="39">
        <f>+SUMIFS('2026 Lighting Rates'!C:C,'2026 Lighting Rates'!A:A,A17)</f>
        <v>2.6</v>
      </c>
      <c r="M17" s="39">
        <f t="shared" si="3"/>
        <v>9.61</v>
      </c>
      <c r="N17" s="31">
        <f t="shared" si="1"/>
        <v>0</v>
      </c>
      <c r="O17" s="32"/>
      <c r="P17" s="47">
        <f t="shared" si="4"/>
        <v>7.01</v>
      </c>
      <c r="Q17" s="47">
        <f t="shared" si="5"/>
        <v>2.6</v>
      </c>
      <c r="R17" s="47">
        <f t="shared" si="6"/>
        <v>9.61</v>
      </c>
      <c r="S17" s="31">
        <f t="shared" si="2"/>
        <v>0</v>
      </c>
      <c r="T17" s="183">
        <f t="shared" si="7"/>
        <v>0</v>
      </c>
    </row>
    <row r="18" spans="1:20" ht="17.100000000000001" customHeight="1" x14ac:dyDescent="0.25">
      <c r="A18" s="148">
        <v>806</v>
      </c>
      <c r="B18" s="148"/>
      <c r="D18" s="57">
        <v>7</v>
      </c>
      <c r="E18" s="10" t="s">
        <v>969</v>
      </c>
      <c r="F18" s="11" t="s">
        <v>970</v>
      </c>
      <c r="G18" s="32">
        <f>+SUMIFS('2025 Lighting BDs'!C:C,'2025 Lighting BDs'!B:B,'E-13d'!A18)</f>
        <v>0</v>
      </c>
      <c r="H18" s="32">
        <v>163</v>
      </c>
      <c r="I18" s="32">
        <f t="shared" si="0"/>
        <v>0</v>
      </c>
      <c r="J18" s="57"/>
      <c r="K18" s="39">
        <f>+SUMIFS('2026 Lighting Rates'!B:B,'2026 Lighting Rates'!A:A,A18)</f>
        <v>7.32</v>
      </c>
      <c r="L18" s="39">
        <f>+SUMIFS('2026 Lighting Rates'!C:C,'2026 Lighting Rates'!A:A,A18)</f>
        <v>2.99</v>
      </c>
      <c r="M18" s="39">
        <f t="shared" si="3"/>
        <v>10.31</v>
      </c>
      <c r="N18" s="31">
        <f t="shared" si="1"/>
        <v>0</v>
      </c>
      <c r="O18" s="32"/>
      <c r="P18" s="47">
        <f t="shared" si="4"/>
        <v>7.32</v>
      </c>
      <c r="Q18" s="47">
        <f t="shared" si="5"/>
        <v>2.99</v>
      </c>
      <c r="R18" s="47">
        <f t="shared" si="6"/>
        <v>10.31</v>
      </c>
      <c r="S18" s="31">
        <f t="shared" si="2"/>
        <v>0</v>
      </c>
      <c r="T18" s="183">
        <f t="shared" si="7"/>
        <v>0</v>
      </c>
    </row>
    <row r="19" spans="1:20" ht="17.100000000000001" customHeight="1" x14ac:dyDescent="0.25">
      <c r="A19" s="148">
        <v>468</v>
      </c>
      <c r="B19" s="148"/>
      <c r="D19" s="57">
        <v>8</v>
      </c>
      <c r="E19" s="10" t="s">
        <v>971</v>
      </c>
      <c r="F19" s="11" t="s">
        <v>968</v>
      </c>
      <c r="G19" s="32">
        <f>+SUMIFS('2025 Lighting BDs'!C:C,'2025 Lighting BDs'!B:B,'E-13d'!A19)</f>
        <v>0</v>
      </c>
      <c r="H19" s="32">
        <v>105</v>
      </c>
      <c r="I19" s="32">
        <f t="shared" si="0"/>
        <v>0</v>
      </c>
      <c r="J19" s="57"/>
      <c r="K19" s="39">
        <f>+SUMIFS('2026 Lighting Rates'!B:B,'2026 Lighting Rates'!A:A,A19)</f>
        <v>7.72</v>
      </c>
      <c r="L19" s="39">
        <f>+SUMIFS('2026 Lighting Rates'!C:C,'2026 Lighting Rates'!A:A,A19)</f>
        <v>2.6</v>
      </c>
      <c r="M19" s="39">
        <f t="shared" si="3"/>
        <v>10.32</v>
      </c>
      <c r="N19" s="31">
        <f t="shared" si="1"/>
        <v>0</v>
      </c>
      <c r="O19" s="32"/>
      <c r="P19" s="47">
        <f t="shared" si="4"/>
        <v>7.72</v>
      </c>
      <c r="Q19" s="47">
        <f t="shared" si="5"/>
        <v>2.6</v>
      </c>
      <c r="R19" s="47">
        <f t="shared" si="6"/>
        <v>10.32</v>
      </c>
      <c r="S19" s="31">
        <f t="shared" si="2"/>
        <v>0</v>
      </c>
      <c r="T19" s="183">
        <f t="shared" si="7"/>
        <v>0</v>
      </c>
    </row>
    <row r="20" spans="1:20" ht="17.100000000000001" customHeight="1" x14ac:dyDescent="0.25">
      <c r="A20" s="148">
        <v>478</v>
      </c>
      <c r="B20" s="148"/>
      <c r="D20" s="57">
        <v>9</v>
      </c>
      <c r="E20" s="10" t="s">
        <v>972</v>
      </c>
      <c r="F20" s="11" t="s">
        <v>970</v>
      </c>
      <c r="G20" s="32">
        <f>+SUMIFS('2025 Lighting BDs'!C:C,'2025 Lighting BDs'!B:B,'E-13d'!A20)</f>
        <v>0</v>
      </c>
      <c r="H20" s="32">
        <v>163</v>
      </c>
      <c r="I20" s="32">
        <f t="shared" si="0"/>
        <v>0</v>
      </c>
      <c r="J20" s="57"/>
      <c r="K20" s="39">
        <f>+SUMIFS('2026 Lighting Rates'!B:B,'2026 Lighting Rates'!A:A,A20)</f>
        <v>8.2200000000000006</v>
      </c>
      <c r="L20" s="39">
        <f>+SUMIFS('2026 Lighting Rates'!C:C,'2026 Lighting Rates'!A:A,A20)</f>
        <v>3</v>
      </c>
      <c r="M20" s="39">
        <f t="shared" si="3"/>
        <v>11.22</v>
      </c>
      <c r="N20" s="31">
        <f t="shared" si="1"/>
        <v>0</v>
      </c>
      <c r="O20" s="32"/>
      <c r="P20" s="47">
        <f t="shared" si="4"/>
        <v>8.2200000000000006</v>
      </c>
      <c r="Q20" s="47">
        <f t="shared" si="5"/>
        <v>3</v>
      </c>
      <c r="R20" s="47">
        <f t="shared" si="6"/>
        <v>11.22</v>
      </c>
      <c r="S20" s="31">
        <f t="shared" si="2"/>
        <v>0</v>
      </c>
      <c r="T20" s="183">
        <f t="shared" si="7"/>
        <v>0</v>
      </c>
    </row>
    <row r="21" spans="1:20" ht="17.100000000000001" customHeight="1" x14ac:dyDescent="0.25">
      <c r="A21" s="148">
        <v>809</v>
      </c>
      <c r="B21" s="148"/>
      <c r="D21" s="57">
        <v>10</v>
      </c>
      <c r="E21" s="10" t="s">
        <v>973</v>
      </c>
      <c r="F21" s="11" t="s">
        <v>970</v>
      </c>
      <c r="G21" s="32">
        <f>+SUMIFS('2025 Lighting BDs'!C:C,'2025 Lighting BDs'!B:B,'E-13d'!A21)</f>
        <v>0</v>
      </c>
      <c r="H21" s="32">
        <v>163</v>
      </c>
      <c r="I21" s="32">
        <f t="shared" si="0"/>
        <v>0</v>
      </c>
      <c r="J21" s="57"/>
      <c r="K21" s="39">
        <f>+SUMIFS('2026 Lighting Rates'!B:B,'2026 Lighting Rates'!A:A,A21)</f>
        <v>9.35</v>
      </c>
      <c r="L21" s="39">
        <f>+SUMIFS('2026 Lighting Rates'!C:C,'2026 Lighting Rates'!A:A,A21)</f>
        <v>3.02</v>
      </c>
      <c r="M21" s="39">
        <f t="shared" si="3"/>
        <v>12.37</v>
      </c>
      <c r="N21" s="31">
        <f t="shared" si="1"/>
        <v>0</v>
      </c>
      <c r="O21" s="32"/>
      <c r="P21" s="47">
        <f t="shared" si="4"/>
        <v>9.35</v>
      </c>
      <c r="Q21" s="47">
        <f t="shared" si="5"/>
        <v>3.02</v>
      </c>
      <c r="R21" s="47">
        <f t="shared" si="6"/>
        <v>12.37</v>
      </c>
      <c r="S21" s="31">
        <f t="shared" si="2"/>
        <v>0</v>
      </c>
      <c r="T21" s="183">
        <f t="shared" si="7"/>
        <v>0</v>
      </c>
    </row>
    <row r="22" spans="1:20" ht="17.100000000000001" customHeight="1" x14ac:dyDescent="0.25">
      <c r="A22" s="148">
        <v>509</v>
      </c>
      <c r="B22" s="148"/>
      <c r="D22" s="57">
        <v>11</v>
      </c>
      <c r="E22" s="10" t="s">
        <v>974</v>
      </c>
      <c r="F22" s="11" t="s">
        <v>960</v>
      </c>
      <c r="G22" s="32">
        <f>+SUMIFS('2025 Lighting BDs'!C:C,'2025 Lighting BDs'!B:B,'E-13d'!A22)</f>
        <v>0</v>
      </c>
      <c r="H22" s="32">
        <v>20</v>
      </c>
      <c r="I22" s="150">
        <f t="shared" si="0"/>
        <v>0</v>
      </c>
      <c r="J22" s="57"/>
      <c r="K22" s="39">
        <f>+SUMIFS('2026 Lighting Rates'!B:B,'2026 Lighting Rates'!A:A,A22)</f>
        <v>4.43</v>
      </c>
      <c r="L22" s="39">
        <f>+SUMIFS('2026 Lighting Rates'!C:C,'2026 Lighting Rates'!A:A,A22)</f>
        <v>2.48</v>
      </c>
      <c r="M22" s="39">
        <f t="shared" si="3"/>
        <v>6.91</v>
      </c>
      <c r="N22" s="31">
        <f t="shared" si="1"/>
        <v>0</v>
      </c>
      <c r="O22" s="32"/>
      <c r="P22" s="47">
        <f t="shared" si="4"/>
        <v>4.43</v>
      </c>
      <c r="Q22" s="47">
        <f t="shared" si="5"/>
        <v>2.48</v>
      </c>
      <c r="R22" s="47">
        <f t="shared" si="6"/>
        <v>6.91</v>
      </c>
      <c r="S22" s="31">
        <f t="shared" si="2"/>
        <v>0</v>
      </c>
      <c r="T22" s="183">
        <f t="shared" si="7"/>
        <v>0</v>
      </c>
    </row>
    <row r="23" spans="1:20" ht="17.100000000000001" customHeight="1" x14ac:dyDescent="0.25">
      <c r="A23" s="148">
        <v>570</v>
      </c>
      <c r="B23" s="148"/>
      <c r="D23" s="57">
        <v>12</v>
      </c>
      <c r="E23" s="10" t="s">
        <v>975</v>
      </c>
      <c r="F23" s="11" t="s">
        <v>964</v>
      </c>
      <c r="G23" s="32">
        <f>+SUMIFS('2025 Lighting BDs'!C:C,'2025 Lighting BDs'!B:B,'E-13d'!A23)</f>
        <v>0</v>
      </c>
      <c r="H23" s="32">
        <v>44</v>
      </c>
      <c r="I23" s="32">
        <f t="shared" si="0"/>
        <v>0</v>
      </c>
      <c r="J23" s="57"/>
      <c r="K23" s="39">
        <f>+SUMIFS('2026 Lighting Rates'!B:B,'2026 Lighting Rates'!A:A,A23)</f>
        <v>17.05</v>
      </c>
      <c r="L23" s="39">
        <f>+SUMIFS('2026 Lighting Rates'!C:C,'2026 Lighting Rates'!A:A,A23)</f>
        <v>1.89</v>
      </c>
      <c r="M23" s="39">
        <f t="shared" si="3"/>
        <v>18.940000000000001</v>
      </c>
      <c r="N23" s="31">
        <f t="shared" si="1"/>
        <v>0</v>
      </c>
      <c r="O23" s="32"/>
      <c r="P23" s="47">
        <f t="shared" si="4"/>
        <v>17.05</v>
      </c>
      <c r="Q23" s="47">
        <f t="shared" si="5"/>
        <v>1.89</v>
      </c>
      <c r="R23" s="47">
        <f t="shared" si="6"/>
        <v>18.940000000000001</v>
      </c>
      <c r="S23" s="31">
        <f t="shared" si="2"/>
        <v>0</v>
      </c>
      <c r="T23" s="183">
        <f t="shared" si="7"/>
        <v>0</v>
      </c>
    </row>
    <row r="24" spans="1:20" ht="17.100000000000001" customHeight="1" x14ac:dyDescent="0.25">
      <c r="A24" s="148">
        <v>810</v>
      </c>
      <c r="B24" s="148"/>
      <c r="D24" s="57">
        <v>13</v>
      </c>
      <c r="E24" s="10" t="s">
        <v>976</v>
      </c>
      <c r="F24" s="11" t="s">
        <v>962</v>
      </c>
      <c r="G24" s="32">
        <f>+SUMIFS('2025 Lighting BDs'!C:C,'2025 Lighting BDs'!B:B,'E-13d'!A24)</f>
        <v>0</v>
      </c>
      <c r="H24" s="32">
        <v>29</v>
      </c>
      <c r="I24" s="32">
        <f t="shared" si="0"/>
        <v>0</v>
      </c>
      <c r="J24" s="57"/>
      <c r="K24" s="39">
        <f>+SUMIFS('2026 Lighting Rates'!B:B,'2026 Lighting Rates'!A:A,A24)</f>
        <v>6.78</v>
      </c>
      <c r="L24" s="39">
        <f>+SUMIFS('2026 Lighting Rates'!C:C,'2026 Lighting Rates'!A:A,A24)</f>
        <v>2.11</v>
      </c>
      <c r="M24" s="39">
        <f t="shared" si="3"/>
        <v>8.89</v>
      </c>
      <c r="N24" s="31">
        <f t="shared" si="1"/>
        <v>0</v>
      </c>
      <c r="O24" s="35"/>
      <c r="P24" s="47">
        <f t="shared" si="4"/>
        <v>6.78</v>
      </c>
      <c r="Q24" s="47">
        <f t="shared" si="5"/>
        <v>2.11</v>
      </c>
      <c r="R24" s="47">
        <f t="shared" si="6"/>
        <v>8.89</v>
      </c>
      <c r="S24" s="31">
        <f t="shared" si="2"/>
        <v>0</v>
      </c>
      <c r="T24" s="183">
        <f t="shared" si="7"/>
        <v>0</v>
      </c>
    </row>
    <row r="25" spans="1:20" ht="17.100000000000001" customHeight="1" x14ac:dyDescent="0.25">
      <c r="A25" s="148">
        <v>572</v>
      </c>
      <c r="B25" s="148"/>
      <c r="D25" s="57">
        <v>14</v>
      </c>
      <c r="E25" s="10" t="s">
        <v>977</v>
      </c>
      <c r="F25" s="11" t="s">
        <v>964</v>
      </c>
      <c r="G25" s="32">
        <f>+SUMIFS('2025 Lighting BDs'!C:C,'2025 Lighting BDs'!B:B,'E-13d'!A25)</f>
        <v>0</v>
      </c>
      <c r="H25" s="32">
        <v>44</v>
      </c>
      <c r="I25" s="150">
        <f t="shared" si="0"/>
        <v>0</v>
      </c>
      <c r="J25" s="57"/>
      <c r="K25" s="39">
        <f>+SUMIFS('2026 Lighting Rates'!B:B,'2026 Lighting Rates'!A:A,A25)</f>
        <v>13.08</v>
      </c>
      <c r="L25" s="39">
        <f>+SUMIFS('2026 Lighting Rates'!C:C,'2026 Lighting Rates'!A:A,A25)</f>
        <v>1.89</v>
      </c>
      <c r="M25" s="39">
        <f t="shared" si="3"/>
        <v>14.97</v>
      </c>
      <c r="N25" s="31">
        <f t="shared" si="1"/>
        <v>0</v>
      </c>
      <c r="O25" s="32"/>
      <c r="P25" s="47">
        <f t="shared" si="4"/>
        <v>13.08</v>
      </c>
      <c r="Q25" s="47">
        <f t="shared" si="5"/>
        <v>1.89</v>
      </c>
      <c r="R25" s="47">
        <f t="shared" si="6"/>
        <v>14.97</v>
      </c>
      <c r="S25" s="31">
        <f t="shared" si="2"/>
        <v>0</v>
      </c>
      <c r="T25" s="183">
        <f t="shared" si="7"/>
        <v>0</v>
      </c>
    </row>
    <row r="26" spans="1:20" ht="17.100000000000001" customHeight="1" x14ac:dyDescent="0.25">
      <c r="A26" s="148">
        <v>573</v>
      </c>
      <c r="B26" s="148"/>
      <c r="D26" s="57">
        <v>15</v>
      </c>
      <c r="E26" s="10" t="s">
        <v>978</v>
      </c>
      <c r="F26" s="11" t="s">
        <v>964</v>
      </c>
      <c r="G26" s="32">
        <f>+SUMIFS('2025 Lighting BDs'!C:C,'2025 Lighting BDs'!B:B,'E-13d'!A26)</f>
        <v>0</v>
      </c>
      <c r="H26" s="32">
        <v>44</v>
      </c>
      <c r="I26" s="32">
        <f t="shared" si="0"/>
        <v>0</v>
      </c>
      <c r="J26" s="57"/>
      <c r="K26" s="39">
        <f>+SUMIFS('2026 Lighting Rates'!B:B,'2026 Lighting Rates'!A:A,A26)</f>
        <v>12.99</v>
      </c>
      <c r="L26" s="39">
        <f>+SUMIFS('2026 Lighting Rates'!C:C,'2026 Lighting Rates'!A:A,A26)</f>
        <v>1.89</v>
      </c>
      <c r="M26" s="39">
        <f>+K26+L26</f>
        <v>14.88</v>
      </c>
      <c r="N26" s="31">
        <f t="shared" si="1"/>
        <v>0</v>
      </c>
      <c r="O26" s="32"/>
      <c r="P26" s="47">
        <f t="shared" si="4"/>
        <v>12.99</v>
      </c>
      <c r="Q26" s="47">
        <f t="shared" si="5"/>
        <v>1.89</v>
      </c>
      <c r="R26" s="47">
        <f t="shared" si="6"/>
        <v>14.88</v>
      </c>
      <c r="S26" s="31">
        <f t="shared" si="2"/>
        <v>0</v>
      </c>
      <c r="T26" s="183">
        <f t="shared" si="7"/>
        <v>0</v>
      </c>
    </row>
    <row r="27" spans="1:20" ht="17.100000000000001" customHeight="1" x14ac:dyDescent="0.25">
      <c r="A27" s="148">
        <v>550</v>
      </c>
      <c r="B27" s="148"/>
      <c r="D27" s="57">
        <v>16</v>
      </c>
      <c r="E27" s="10" t="s">
        <v>979</v>
      </c>
      <c r="F27" s="11" t="s">
        <v>964</v>
      </c>
      <c r="G27" s="32">
        <f>+SUMIFS('2025 Lighting BDs'!C:C,'2025 Lighting BDs'!B:B,'E-13d'!A27)</f>
        <v>0</v>
      </c>
      <c r="H27" s="32">
        <v>44</v>
      </c>
      <c r="I27" s="32">
        <f t="shared" si="0"/>
        <v>0</v>
      </c>
      <c r="J27" s="57"/>
      <c r="K27" s="39">
        <f>+SUMIFS('2026 Lighting Rates'!B:B,'2026 Lighting Rates'!A:A,A27)</f>
        <v>11.53</v>
      </c>
      <c r="L27" s="39">
        <f>+SUMIFS('2026 Lighting Rates'!C:C,'2026 Lighting Rates'!A:A,A27)</f>
        <v>1.89</v>
      </c>
      <c r="M27" s="39">
        <f>+K27+L27</f>
        <v>13.42</v>
      </c>
      <c r="N27" s="31">
        <f t="shared" si="1"/>
        <v>0</v>
      </c>
      <c r="O27" s="32"/>
      <c r="P27" s="47">
        <f t="shared" si="4"/>
        <v>11.53</v>
      </c>
      <c r="Q27" s="47">
        <f t="shared" si="5"/>
        <v>1.89</v>
      </c>
      <c r="R27" s="47">
        <f t="shared" si="6"/>
        <v>13.42</v>
      </c>
      <c r="S27" s="31">
        <f t="shared" si="2"/>
        <v>0</v>
      </c>
      <c r="T27" s="183">
        <f t="shared" si="7"/>
        <v>0</v>
      </c>
    </row>
    <row r="28" spans="1:20" ht="17.100000000000001" customHeight="1" x14ac:dyDescent="0.25">
      <c r="A28" s="148">
        <v>566</v>
      </c>
      <c r="B28" s="148"/>
      <c r="D28" s="57">
        <v>17</v>
      </c>
      <c r="E28" s="10" t="s">
        <v>980</v>
      </c>
      <c r="F28" s="11" t="s">
        <v>968</v>
      </c>
      <c r="G28" s="32">
        <f>+SUMIFS('2025 Lighting BDs'!C:C,'2025 Lighting BDs'!B:B,'E-13d'!A28)</f>
        <v>0</v>
      </c>
      <c r="H28" s="32">
        <v>106</v>
      </c>
      <c r="I28" s="32">
        <f t="shared" si="0"/>
        <v>0</v>
      </c>
      <c r="J28" s="57"/>
      <c r="K28" s="39">
        <f>+SUMIFS('2026 Lighting Rates'!B:B,'2026 Lighting Rates'!A:A,A28)</f>
        <v>12.5</v>
      </c>
      <c r="L28" s="39">
        <f>+SUMIFS('2026 Lighting Rates'!C:C,'2026 Lighting Rates'!A:A,A28)</f>
        <v>3.18</v>
      </c>
      <c r="M28" s="39">
        <f>+K28+L28</f>
        <v>15.68</v>
      </c>
      <c r="N28" s="31">
        <f t="shared" si="1"/>
        <v>0</v>
      </c>
      <c r="O28" s="32"/>
      <c r="P28" s="47">
        <f t="shared" si="4"/>
        <v>12.5</v>
      </c>
      <c r="Q28" s="47">
        <f t="shared" si="5"/>
        <v>3.18</v>
      </c>
      <c r="R28" s="47">
        <f t="shared" si="6"/>
        <v>15.68</v>
      </c>
      <c r="S28" s="31">
        <f t="shared" si="2"/>
        <v>0</v>
      </c>
      <c r="T28" s="183">
        <f t="shared" si="7"/>
        <v>0</v>
      </c>
    </row>
    <row r="29" spans="1:20" ht="17.100000000000001" customHeight="1" x14ac:dyDescent="0.25">
      <c r="A29" s="148">
        <v>552</v>
      </c>
      <c r="B29" s="148"/>
      <c r="D29" s="57">
        <v>18</v>
      </c>
      <c r="E29" s="10" t="s">
        <v>981</v>
      </c>
      <c r="F29" s="11" t="s">
        <v>970</v>
      </c>
      <c r="G29" s="32">
        <f>+SUMIFS('2025 Lighting BDs'!C:C,'2025 Lighting BDs'!B:B,'E-13d'!A29)</f>
        <v>0</v>
      </c>
      <c r="H29" s="32">
        <v>163</v>
      </c>
      <c r="I29" s="150">
        <f t="shared" si="0"/>
        <v>0</v>
      </c>
      <c r="J29" s="57"/>
      <c r="K29" s="39">
        <f>+SUMIFS('2026 Lighting Rates'!B:B,'2026 Lighting Rates'!A:A,A29)</f>
        <v>10.6</v>
      </c>
      <c r="L29" s="39">
        <f>+SUMIFS('2026 Lighting Rates'!C:C,'2026 Lighting Rates'!A:A,A29)</f>
        <v>2.44</v>
      </c>
      <c r="M29" s="39">
        <f>+K29+L29</f>
        <v>13.04</v>
      </c>
      <c r="N29" s="31">
        <f t="shared" si="1"/>
        <v>0</v>
      </c>
      <c r="O29" s="32"/>
      <c r="P29" s="47">
        <f t="shared" si="4"/>
        <v>10.6</v>
      </c>
      <c r="Q29" s="47">
        <f t="shared" si="5"/>
        <v>2.44</v>
      </c>
      <c r="R29" s="47">
        <f t="shared" si="6"/>
        <v>13.04</v>
      </c>
      <c r="S29" s="31">
        <f t="shared" si="2"/>
        <v>0</v>
      </c>
      <c r="T29" s="183">
        <f t="shared" si="7"/>
        <v>0</v>
      </c>
    </row>
    <row r="30" spans="1:20" ht="17.100000000000001" customHeight="1" x14ac:dyDescent="0.25">
      <c r="A30" s="148"/>
      <c r="B30" s="148"/>
      <c r="D30" s="57">
        <v>19</v>
      </c>
      <c r="E30" s="10" t="s">
        <v>982</v>
      </c>
      <c r="M30" s="39"/>
      <c r="N30" s="31">
        <f>SUM(N13:N29)</f>
        <v>0</v>
      </c>
      <c r="O30" s="47"/>
      <c r="S30" s="31">
        <f>SUM(S13:S29)</f>
        <v>0</v>
      </c>
      <c r="T30" s="183">
        <f t="shared" si="7"/>
        <v>0</v>
      </c>
    </row>
    <row r="31" spans="1:20" ht="17.100000000000001" customHeight="1" x14ac:dyDescent="0.25">
      <c r="A31" s="148"/>
      <c r="B31" s="148"/>
      <c r="D31" s="57">
        <v>20</v>
      </c>
      <c r="E31" s="8"/>
      <c r="F31" s="8"/>
      <c r="G31" s="8"/>
      <c r="H31" s="8"/>
      <c r="I31" s="8"/>
      <c r="J31" s="8"/>
      <c r="K31" s="70"/>
      <c r="L31" s="70"/>
      <c r="M31" s="8"/>
      <c r="N31" s="218"/>
      <c r="O31" s="47"/>
      <c r="P31" s="149"/>
      <c r="Q31" s="8"/>
      <c r="R31" s="8"/>
      <c r="S31" s="8"/>
      <c r="T31" s="8"/>
    </row>
    <row r="32" spans="1:20" ht="17.100000000000001" customHeight="1" x14ac:dyDescent="0.25">
      <c r="A32" s="148"/>
      <c r="B32" s="148"/>
      <c r="D32" s="57">
        <v>21</v>
      </c>
      <c r="H32" s="32"/>
      <c r="I32" s="32"/>
      <c r="J32" s="32"/>
      <c r="K32" s="52"/>
      <c r="L32" s="52"/>
      <c r="M32" s="47"/>
      <c r="N32" s="32"/>
      <c r="O32" s="47"/>
      <c r="P32" s="39"/>
      <c r="Q32" s="39"/>
      <c r="R32" s="47"/>
      <c r="S32" s="32"/>
      <c r="T32" s="227"/>
    </row>
    <row r="33" spans="1:20" ht="17.100000000000001" customHeight="1" x14ac:dyDescent="0.25">
      <c r="A33" s="148"/>
      <c r="B33" s="148"/>
      <c r="D33" s="57">
        <v>22</v>
      </c>
      <c r="E33" s="8" t="s">
        <v>983</v>
      </c>
      <c r="F33" s="8"/>
      <c r="G33" s="150"/>
      <c r="H33" s="150"/>
      <c r="I33" s="150"/>
      <c r="J33" s="150"/>
      <c r="K33" s="39"/>
      <c r="L33" s="39"/>
      <c r="M33" s="39"/>
      <c r="N33" s="39"/>
      <c r="O33" s="35"/>
      <c r="P33" s="35"/>
      <c r="Q33" s="35"/>
      <c r="R33" s="35"/>
      <c r="S33" s="35"/>
      <c r="T33" s="35"/>
    </row>
    <row r="34" spans="1:20" ht="17.100000000000001" customHeight="1" x14ac:dyDescent="0.25">
      <c r="A34" s="148">
        <v>704</v>
      </c>
      <c r="B34" s="148"/>
      <c r="D34" s="57">
        <v>23</v>
      </c>
      <c r="E34" s="8" t="s">
        <v>984</v>
      </c>
      <c r="F34" s="11" t="s">
        <v>985</v>
      </c>
      <c r="G34" s="32">
        <f>+SUMIFS('2025 Lighting BDs'!C:C,'2025 Lighting BDs'!B:B,'E-13d'!A34)</f>
        <v>0</v>
      </c>
      <c r="H34" s="150">
        <v>138</v>
      </c>
      <c r="I34" s="150">
        <f t="shared" ref="I34:I47" si="8">+H34*G34</f>
        <v>0</v>
      </c>
      <c r="J34" s="150"/>
      <c r="K34" s="39">
        <f>+SUMIFS('2026 Lighting Rates'!B:B,'2026 Lighting Rates'!A:A,A34)</f>
        <v>10.83</v>
      </c>
      <c r="L34" s="39">
        <f>+SUMIFS('2026 Lighting Rates'!C:C,'2026 Lighting Rates'!A:A,A34)</f>
        <v>4.99</v>
      </c>
      <c r="M34" s="39">
        <f t="shared" ref="M34:M47" si="9">+K34+L34</f>
        <v>15.82</v>
      </c>
      <c r="N34" s="39">
        <f t="shared" ref="N34:N47" si="10">+M34*G34</f>
        <v>0</v>
      </c>
      <c r="O34" s="35"/>
      <c r="P34" s="47">
        <f t="shared" ref="P34:P47" si="11">+K34</f>
        <v>10.83</v>
      </c>
      <c r="Q34" s="47">
        <f t="shared" ref="Q34:Q47" si="12">+L34</f>
        <v>4.99</v>
      </c>
      <c r="R34" s="47">
        <f t="shared" ref="R34:R47" si="13">+P34+Q34</f>
        <v>15.82</v>
      </c>
      <c r="S34" s="35">
        <f t="shared" ref="S34:S47" si="14">+R34*G34</f>
        <v>0</v>
      </c>
      <c r="T34" s="183">
        <f t="shared" ref="T34:T48" si="15">IF(S34=0,0,(S34-N34)/N34)</f>
        <v>0</v>
      </c>
    </row>
    <row r="35" spans="1:20" ht="17.100000000000001" customHeight="1" x14ac:dyDescent="0.25">
      <c r="A35" s="148">
        <v>520</v>
      </c>
      <c r="B35" s="148"/>
      <c r="D35" s="57">
        <v>24</v>
      </c>
      <c r="E35" s="8" t="s">
        <v>986</v>
      </c>
      <c r="F35" s="11" t="s">
        <v>970</v>
      </c>
      <c r="G35" s="32">
        <f>+SUMIFS('2025 Lighting BDs'!C:C,'2025 Lighting BDs'!B:B,'E-13d'!A35)</f>
        <v>0</v>
      </c>
      <c r="H35" s="150">
        <v>159</v>
      </c>
      <c r="I35" s="150">
        <f t="shared" si="8"/>
        <v>0</v>
      </c>
      <c r="J35" s="150"/>
      <c r="K35" s="39">
        <f>+SUMIFS('2026 Lighting Rates'!B:B,'2026 Lighting Rates'!A:A,A35)</f>
        <v>8.67</v>
      </c>
      <c r="L35" s="39">
        <f>+SUMIFS('2026 Lighting Rates'!C:C,'2026 Lighting Rates'!A:A,A35)</f>
        <v>4.01</v>
      </c>
      <c r="M35" s="39">
        <f t="shared" si="9"/>
        <v>12.68</v>
      </c>
      <c r="N35" s="161">
        <f t="shared" si="10"/>
        <v>0</v>
      </c>
      <c r="O35" s="8"/>
      <c r="P35" s="47">
        <f t="shared" si="11"/>
        <v>8.67</v>
      </c>
      <c r="Q35" s="47">
        <f t="shared" si="12"/>
        <v>4.01</v>
      </c>
      <c r="R35" s="47">
        <f t="shared" si="13"/>
        <v>12.68</v>
      </c>
      <c r="S35" s="35">
        <f t="shared" si="14"/>
        <v>0</v>
      </c>
      <c r="T35" s="183">
        <f t="shared" si="15"/>
        <v>0</v>
      </c>
    </row>
    <row r="36" spans="1:20" ht="17.100000000000001" customHeight="1" x14ac:dyDescent="0.25">
      <c r="A36" s="148">
        <v>705</v>
      </c>
      <c r="B36" s="148"/>
      <c r="D36" s="57">
        <v>25</v>
      </c>
      <c r="E36" s="8" t="s">
        <v>987</v>
      </c>
      <c r="F36" s="11" t="s">
        <v>985</v>
      </c>
      <c r="G36" s="32">
        <f>+SUMIFS('2025 Lighting BDs'!C:C,'2025 Lighting BDs'!B:B,'E-13d'!A36)</f>
        <v>0</v>
      </c>
      <c r="H36" s="150">
        <v>138</v>
      </c>
      <c r="I36" s="150">
        <f t="shared" si="8"/>
        <v>0</v>
      </c>
      <c r="J36" s="150"/>
      <c r="K36" s="39">
        <f>+SUMIFS('2026 Lighting Rates'!B:B,'2026 Lighting Rates'!A:A,A36)</f>
        <v>12.3</v>
      </c>
      <c r="L36" s="39">
        <f>+SUMIFS('2026 Lighting Rates'!C:C,'2026 Lighting Rates'!A:A,A36)</f>
        <v>5.04</v>
      </c>
      <c r="M36" s="39">
        <f t="shared" si="9"/>
        <v>17.34</v>
      </c>
      <c r="N36" s="161">
        <f t="shared" si="10"/>
        <v>0</v>
      </c>
      <c r="O36" s="8"/>
      <c r="P36" s="47">
        <f t="shared" si="11"/>
        <v>12.3</v>
      </c>
      <c r="Q36" s="47">
        <f t="shared" si="12"/>
        <v>5.04</v>
      </c>
      <c r="R36" s="47">
        <f t="shared" si="13"/>
        <v>17.34</v>
      </c>
      <c r="S36" s="35">
        <f t="shared" si="14"/>
        <v>0</v>
      </c>
      <c r="T36" s="183">
        <f t="shared" si="15"/>
        <v>0</v>
      </c>
    </row>
    <row r="37" spans="1:20" ht="17.100000000000001" customHeight="1" x14ac:dyDescent="0.25">
      <c r="A37" s="148">
        <v>556</v>
      </c>
      <c r="B37" s="148"/>
      <c r="D37" s="57">
        <v>26</v>
      </c>
      <c r="E37" s="8" t="s">
        <v>988</v>
      </c>
      <c r="F37" s="11" t="s">
        <v>970</v>
      </c>
      <c r="G37" s="32">
        <f>+SUMIFS('2025 Lighting BDs'!C:C,'2025 Lighting BDs'!B:B,'E-13d'!A37)</f>
        <v>0</v>
      </c>
      <c r="H37" s="150">
        <v>159</v>
      </c>
      <c r="I37" s="150">
        <f t="shared" si="8"/>
        <v>0</v>
      </c>
      <c r="J37" s="150"/>
      <c r="K37" s="39">
        <f>+SUMIFS('2026 Lighting Rates'!B:B,'2026 Lighting Rates'!A:A,A37)</f>
        <v>12.04</v>
      </c>
      <c r="L37" s="39">
        <f>+SUMIFS('2026 Lighting Rates'!C:C,'2026 Lighting Rates'!A:A,A37)</f>
        <v>4.0199999999999996</v>
      </c>
      <c r="M37" s="39">
        <f t="shared" si="9"/>
        <v>16.059999999999999</v>
      </c>
      <c r="N37" s="161">
        <f t="shared" si="10"/>
        <v>0</v>
      </c>
      <c r="O37" s="8"/>
      <c r="P37" s="47">
        <f t="shared" si="11"/>
        <v>12.04</v>
      </c>
      <c r="Q37" s="47">
        <f t="shared" si="12"/>
        <v>4.0199999999999996</v>
      </c>
      <c r="R37" s="47">
        <f t="shared" si="13"/>
        <v>16.059999999999999</v>
      </c>
      <c r="S37" s="35">
        <f t="shared" si="14"/>
        <v>0</v>
      </c>
      <c r="T37" s="183">
        <f t="shared" si="15"/>
        <v>0</v>
      </c>
    </row>
    <row r="38" spans="1:20" ht="17.100000000000001" customHeight="1" x14ac:dyDescent="0.25">
      <c r="A38" s="148">
        <v>558</v>
      </c>
      <c r="B38" s="148"/>
      <c r="D38" s="57">
        <v>27</v>
      </c>
      <c r="E38" s="8" t="s">
        <v>989</v>
      </c>
      <c r="F38" s="11" t="s">
        <v>990</v>
      </c>
      <c r="G38" s="32">
        <f>+SUMIFS('2025 Lighting BDs'!C:C,'2025 Lighting BDs'!B:B,'E-13d'!A38)</f>
        <v>0</v>
      </c>
      <c r="H38" s="150">
        <v>383</v>
      </c>
      <c r="I38" s="150">
        <f t="shared" si="8"/>
        <v>0</v>
      </c>
      <c r="J38" s="150"/>
      <c r="K38" s="39">
        <f>+SUMIFS('2026 Lighting Rates'!B:B,'2026 Lighting Rates'!A:A,A38)</f>
        <v>15.11</v>
      </c>
      <c r="L38" s="39">
        <f>+SUMIFS('2026 Lighting Rates'!C:C,'2026 Lighting Rates'!A:A,A38)</f>
        <v>8.17</v>
      </c>
      <c r="M38" s="39">
        <f t="shared" si="9"/>
        <v>23.28</v>
      </c>
      <c r="N38" s="161">
        <f t="shared" si="10"/>
        <v>0</v>
      </c>
      <c r="O38" s="8"/>
      <c r="P38" s="47">
        <f t="shared" si="11"/>
        <v>15.11</v>
      </c>
      <c r="Q38" s="47">
        <f t="shared" si="12"/>
        <v>8.17</v>
      </c>
      <c r="R38" s="47">
        <f t="shared" si="13"/>
        <v>23.28</v>
      </c>
      <c r="S38" s="35">
        <f t="shared" si="14"/>
        <v>0</v>
      </c>
      <c r="T38" s="183">
        <f t="shared" si="15"/>
        <v>0</v>
      </c>
    </row>
    <row r="39" spans="1:20" ht="17.100000000000001" customHeight="1" x14ac:dyDescent="0.25">
      <c r="A39" s="148">
        <v>701</v>
      </c>
      <c r="B39" s="148"/>
      <c r="D39" s="57">
        <v>28</v>
      </c>
      <c r="E39" s="8" t="s">
        <v>991</v>
      </c>
      <c r="F39" s="11" t="s">
        <v>966</v>
      </c>
      <c r="G39" s="32">
        <f>+SUMIFS('2025 Lighting BDs'!C:C,'2025 Lighting BDs'!B:B,'E-13d'!A39)</f>
        <v>0</v>
      </c>
      <c r="H39" s="150">
        <v>67</v>
      </c>
      <c r="I39" s="150">
        <f t="shared" si="8"/>
        <v>0</v>
      </c>
      <c r="J39" s="150"/>
      <c r="K39" s="39">
        <f>+SUMIFS('2026 Lighting Rates'!B:B,'2026 Lighting Rates'!A:A,A39)</f>
        <v>15.25</v>
      </c>
      <c r="L39" s="39">
        <f>+SUMIFS('2026 Lighting Rates'!C:C,'2026 Lighting Rates'!A:A,A39)</f>
        <v>3.92</v>
      </c>
      <c r="M39" s="39">
        <f t="shared" si="9"/>
        <v>19.170000000000002</v>
      </c>
      <c r="N39" s="161">
        <f t="shared" si="10"/>
        <v>0</v>
      </c>
      <c r="O39" s="8"/>
      <c r="P39" s="47">
        <f t="shared" si="11"/>
        <v>15.25</v>
      </c>
      <c r="Q39" s="47">
        <f t="shared" si="12"/>
        <v>3.92</v>
      </c>
      <c r="R39" s="47">
        <f t="shared" si="13"/>
        <v>19.170000000000002</v>
      </c>
      <c r="S39" s="35">
        <f t="shared" si="14"/>
        <v>0</v>
      </c>
      <c r="T39" s="183">
        <f t="shared" si="15"/>
        <v>0</v>
      </c>
    </row>
    <row r="40" spans="1:20" ht="17.100000000000001" customHeight="1" x14ac:dyDescent="0.25">
      <c r="A40" s="148">
        <v>574</v>
      </c>
      <c r="B40" s="148"/>
      <c r="D40" s="57">
        <v>29</v>
      </c>
      <c r="E40" s="8" t="s">
        <v>992</v>
      </c>
      <c r="F40" s="11" t="s">
        <v>993</v>
      </c>
      <c r="G40" s="32">
        <f>+SUMIFS('2025 Lighting BDs'!C:C,'2025 Lighting BDs'!B:B,'E-13d'!A40)</f>
        <v>0</v>
      </c>
      <c r="H40" s="150">
        <v>74</v>
      </c>
      <c r="I40" s="150">
        <f t="shared" si="8"/>
        <v>0</v>
      </c>
      <c r="J40" s="150"/>
      <c r="K40" s="39">
        <f>+SUMIFS('2026 Lighting Rates'!B:B,'2026 Lighting Rates'!A:A,A40)</f>
        <v>15.68</v>
      </c>
      <c r="L40" s="39">
        <f>+SUMIFS('2026 Lighting Rates'!C:C,'2026 Lighting Rates'!A:A,A40)</f>
        <v>3.73</v>
      </c>
      <c r="M40" s="39">
        <f t="shared" si="9"/>
        <v>19.41</v>
      </c>
      <c r="N40" s="161">
        <f t="shared" si="10"/>
        <v>0</v>
      </c>
      <c r="O40" s="8"/>
      <c r="P40" s="47">
        <f t="shared" si="11"/>
        <v>15.68</v>
      </c>
      <c r="Q40" s="47">
        <f t="shared" si="12"/>
        <v>3.73</v>
      </c>
      <c r="R40" s="47">
        <f t="shared" si="13"/>
        <v>19.41</v>
      </c>
      <c r="S40" s="35">
        <f t="shared" si="14"/>
        <v>0</v>
      </c>
      <c r="T40" s="183">
        <f t="shared" si="15"/>
        <v>0</v>
      </c>
    </row>
    <row r="41" spans="1:20" ht="17.100000000000001" customHeight="1" x14ac:dyDescent="0.25">
      <c r="A41" s="148">
        <v>700</v>
      </c>
      <c r="B41" s="148"/>
      <c r="D41" s="57">
        <v>30</v>
      </c>
      <c r="E41" s="8" t="s">
        <v>994</v>
      </c>
      <c r="F41" s="11" t="s">
        <v>966</v>
      </c>
      <c r="G41" s="32">
        <f>+SUMIFS('2025 Lighting BDs'!C:C,'2025 Lighting BDs'!B:B,'E-13d'!A41)</f>
        <v>0</v>
      </c>
      <c r="H41" s="150">
        <v>67</v>
      </c>
      <c r="I41" s="150">
        <f t="shared" si="8"/>
        <v>0</v>
      </c>
      <c r="J41" s="150"/>
      <c r="K41" s="39">
        <f>+SUMIFS('2026 Lighting Rates'!B:B,'2026 Lighting Rates'!A:A,A41)</f>
        <v>13.42</v>
      </c>
      <c r="L41" s="39">
        <f>+SUMIFS('2026 Lighting Rates'!C:C,'2026 Lighting Rates'!A:A,A41)</f>
        <v>3.92</v>
      </c>
      <c r="M41" s="39">
        <f t="shared" si="9"/>
        <v>17.34</v>
      </c>
      <c r="N41" s="161">
        <f t="shared" si="10"/>
        <v>0</v>
      </c>
      <c r="O41" s="8"/>
      <c r="P41" s="47">
        <f t="shared" si="11"/>
        <v>13.42</v>
      </c>
      <c r="Q41" s="47">
        <f t="shared" si="12"/>
        <v>3.92</v>
      </c>
      <c r="R41" s="47">
        <f t="shared" si="13"/>
        <v>17.34</v>
      </c>
      <c r="S41" s="35">
        <f t="shared" si="14"/>
        <v>0</v>
      </c>
      <c r="T41" s="183">
        <f t="shared" si="15"/>
        <v>0</v>
      </c>
    </row>
    <row r="42" spans="1:20" ht="17.100000000000001" customHeight="1" x14ac:dyDescent="0.25">
      <c r="A42" s="148">
        <v>575</v>
      </c>
      <c r="B42" s="148"/>
      <c r="D42" s="57">
        <v>31</v>
      </c>
      <c r="E42" s="8" t="s">
        <v>995</v>
      </c>
      <c r="F42" s="11" t="s">
        <v>993</v>
      </c>
      <c r="G42" s="32">
        <f>+SUMIFS('2025 Lighting BDs'!C:C,'2025 Lighting BDs'!B:B,'E-13d'!A42)</f>
        <v>0</v>
      </c>
      <c r="H42" s="150">
        <v>74</v>
      </c>
      <c r="I42" s="150">
        <f t="shared" si="8"/>
        <v>0</v>
      </c>
      <c r="J42" s="150"/>
      <c r="K42" s="39">
        <f>+SUMIFS('2026 Lighting Rates'!B:B,'2026 Lighting Rates'!A:A,A42)</f>
        <v>13.49</v>
      </c>
      <c r="L42" s="39">
        <f>+SUMIFS('2026 Lighting Rates'!C:C,'2026 Lighting Rates'!A:A,A42)</f>
        <v>3.74</v>
      </c>
      <c r="M42" s="39">
        <f t="shared" si="9"/>
        <v>17.23</v>
      </c>
      <c r="N42" s="161">
        <f t="shared" si="10"/>
        <v>0</v>
      </c>
      <c r="O42" s="8"/>
      <c r="P42" s="47">
        <f t="shared" si="11"/>
        <v>13.49</v>
      </c>
      <c r="Q42" s="47">
        <f t="shared" si="12"/>
        <v>3.74</v>
      </c>
      <c r="R42" s="47">
        <f t="shared" si="13"/>
        <v>17.23</v>
      </c>
      <c r="S42" s="35">
        <f t="shared" si="14"/>
        <v>0</v>
      </c>
      <c r="T42" s="183">
        <f t="shared" si="15"/>
        <v>0</v>
      </c>
    </row>
    <row r="43" spans="1:20" ht="17.100000000000001" customHeight="1" x14ac:dyDescent="0.25">
      <c r="A43" s="148">
        <v>702</v>
      </c>
      <c r="B43" s="148"/>
      <c r="D43" s="57">
        <v>32</v>
      </c>
      <c r="E43" s="8" t="s">
        <v>996</v>
      </c>
      <c r="F43" s="11" t="s">
        <v>966</v>
      </c>
      <c r="G43" s="32">
        <f>+SUMIFS('2025 Lighting BDs'!C:C,'2025 Lighting BDs'!B:B,'E-13d'!A43)</f>
        <v>0</v>
      </c>
      <c r="H43" s="150">
        <v>67</v>
      </c>
      <c r="I43" s="150">
        <f t="shared" si="8"/>
        <v>0</v>
      </c>
      <c r="J43" s="150"/>
      <c r="K43" s="39">
        <f>+SUMIFS('2026 Lighting Rates'!B:B,'2026 Lighting Rates'!A:A,A43)</f>
        <v>10.38</v>
      </c>
      <c r="L43" s="39">
        <f>+SUMIFS('2026 Lighting Rates'!C:C,'2026 Lighting Rates'!A:A,A43)</f>
        <v>3.92</v>
      </c>
      <c r="M43" s="39">
        <f t="shared" si="9"/>
        <v>14.3</v>
      </c>
      <c r="N43" s="161">
        <f t="shared" si="10"/>
        <v>0</v>
      </c>
      <c r="O43" s="8"/>
      <c r="P43" s="47">
        <f t="shared" si="11"/>
        <v>10.38</v>
      </c>
      <c r="Q43" s="47">
        <f t="shared" si="12"/>
        <v>3.92</v>
      </c>
      <c r="R43" s="47">
        <f t="shared" si="13"/>
        <v>14.3</v>
      </c>
      <c r="S43" s="35">
        <f t="shared" si="14"/>
        <v>0</v>
      </c>
      <c r="T43" s="183">
        <f t="shared" si="15"/>
        <v>0</v>
      </c>
    </row>
    <row r="44" spans="1:20" ht="17.100000000000001" customHeight="1" x14ac:dyDescent="0.25">
      <c r="A44" s="148">
        <v>564</v>
      </c>
      <c r="B44" s="148"/>
      <c r="D44" s="57">
        <v>33</v>
      </c>
      <c r="E44" s="8" t="s">
        <v>997</v>
      </c>
      <c r="F44" s="11" t="s">
        <v>993</v>
      </c>
      <c r="G44" s="32">
        <f>+SUMIFS('2025 Lighting BDs'!C:C,'2025 Lighting BDs'!B:B,'E-13d'!A44)</f>
        <v>0</v>
      </c>
      <c r="H44" s="150">
        <v>74</v>
      </c>
      <c r="I44" s="150">
        <f t="shared" si="8"/>
        <v>0</v>
      </c>
      <c r="J44" s="150"/>
      <c r="K44" s="39">
        <f>+SUMIFS('2026 Lighting Rates'!B:B,'2026 Lighting Rates'!A:A,A44)</f>
        <v>11.44</v>
      </c>
      <c r="L44" s="39">
        <f>+SUMIFS('2026 Lighting Rates'!C:C,'2026 Lighting Rates'!A:A,A44)</f>
        <v>3.7</v>
      </c>
      <c r="M44" s="39">
        <f t="shared" si="9"/>
        <v>15.14</v>
      </c>
      <c r="N44" s="161">
        <f t="shared" si="10"/>
        <v>0</v>
      </c>
      <c r="O44" s="8"/>
      <c r="P44" s="47">
        <f t="shared" si="11"/>
        <v>11.44</v>
      </c>
      <c r="Q44" s="47">
        <f t="shared" si="12"/>
        <v>3.7</v>
      </c>
      <c r="R44" s="47">
        <f t="shared" si="13"/>
        <v>15.14</v>
      </c>
      <c r="S44" s="35">
        <f t="shared" si="14"/>
        <v>0</v>
      </c>
      <c r="T44" s="183">
        <f t="shared" si="15"/>
        <v>0</v>
      </c>
    </row>
    <row r="45" spans="1:20" ht="17.100000000000001" customHeight="1" x14ac:dyDescent="0.25">
      <c r="A45" s="148">
        <v>703</v>
      </c>
      <c r="B45" s="148"/>
      <c r="D45" s="57">
        <v>34</v>
      </c>
      <c r="E45" s="8" t="s">
        <v>998</v>
      </c>
      <c r="F45" s="11" t="s">
        <v>985</v>
      </c>
      <c r="G45" s="32">
        <f>+SUMIFS('2025 Lighting BDs'!C:C,'2025 Lighting BDs'!B:B,'E-13d'!A45)</f>
        <v>0</v>
      </c>
      <c r="H45" s="150">
        <v>138</v>
      </c>
      <c r="I45" s="150">
        <f t="shared" si="8"/>
        <v>0</v>
      </c>
      <c r="J45" s="150"/>
      <c r="K45" s="39">
        <f>+SUMIFS('2026 Lighting Rates'!B:B,'2026 Lighting Rates'!A:A,A45)</f>
        <v>13.74</v>
      </c>
      <c r="L45" s="39">
        <f>+SUMIFS('2026 Lighting Rates'!C:C,'2026 Lighting Rates'!A:A,A45)</f>
        <v>4.93</v>
      </c>
      <c r="M45" s="39">
        <f t="shared" si="9"/>
        <v>18.670000000000002</v>
      </c>
      <c r="N45" s="161">
        <f t="shared" si="10"/>
        <v>0</v>
      </c>
      <c r="O45" s="8"/>
      <c r="P45" s="47">
        <f t="shared" si="11"/>
        <v>13.74</v>
      </c>
      <c r="Q45" s="47">
        <f t="shared" si="12"/>
        <v>4.93</v>
      </c>
      <c r="R45" s="47">
        <f t="shared" si="13"/>
        <v>18.670000000000002</v>
      </c>
      <c r="S45" s="35">
        <f t="shared" si="14"/>
        <v>0</v>
      </c>
      <c r="T45" s="183">
        <f t="shared" si="15"/>
        <v>0</v>
      </c>
    </row>
    <row r="46" spans="1:20" ht="17.100000000000001" customHeight="1" x14ac:dyDescent="0.25">
      <c r="A46" s="148">
        <v>554</v>
      </c>
      <c r="B46" s="148"/>
      <c r="D46" s="57">
        <v>35</v>
      </c>
      <c r="E46" s="8" t="s">
        <v>999</v>
      </c>
      <c r="F46" s="11" t="s">
        <v>970</v>
      </c>
      <c r="G46" s="32">
        <f>+SUMIFS('2025 Lighting BDs'!C:C,'2025 Lighting BDs'!B:B,'E-13d'!A46)</f>
        <v>0</v>
      </c>
      <c r="H46" s="150">
        <v>159</v>
      </c>
      <c r="I46" s="150">
        <f t="shared" si="8"/>
        <v>0</v>
      </c>
      <c r="J46" s="150"/>
      <c r="K46" s="39">
        <f>+SUMIFS('2026 Lighting Rates'!B:B,'2026 Lighting Rates'!A:A,A46)</f>
        <v>14.41</v>
      </c>
      <c r="L46" s="39">
        <f>+SUMIFS('2026 Lighting Rates'!C:C,'2026 Lighting Rates'!A:A,A46)</f>
        <v>3.97</v>
      </c>
      <c r="M46" s="39">
        <f t="shared" si="9"/>
        <v>18.38</v>
      </c>
      <c r="N46" s="161">
        <f t="shared" si="10"/>
        <v>0</v>
      </c>
      <c r="O46" s="8"/>
      <c r="P46" s="47">
        <f t="shared" si="11"/>
        <v>14.41</v>
      </c>
      <c r="Q46" s="47">
        <f t="shared" si="12"/>
        <v>3.97</v>
      </c>
      <c r="R46" s="47">
        <f t="shared" si="13"/>
        <v>18.38</v>
      </c>
      <c r="S46" s="35">
        <f t="shared" si="14"/>
        <v>0</v>
      </c>
      <c r="T46" s="183">
        <f t="shared" si="15"/>
        <v>0</v>
      </c>
    </row>
    <row r="47" spans="1:20" ht="17.100000000000001" customHeight="1" x14ac:dyDescent="0.25">
      <c r="A47" s="148">
        <v>576</v>
      </c>
      <c r="B47" s="148"/>
      <c r="D47" s="57">
        <v>36</v>
      </c>
      <c r="E47" s="8" t="s">
        <v>1000</v>
      </c>
      <c r="F47" s="11" t="s">
        <v>990</v>
      </c>
      <c r="G47" s="32">
        <f>+SUMIFS('2025 Lighting BDs'!C:C,'2025 Lighting BDs'!B:B,'E-13d'!A47)</f>
        <v>0</v>
      </c>
      <c r="H47" s="150">
        <v>383</v>
      </c>
      <c r="I47" s="150">
        <f t="shared" si="8"/>
        <v>0</v>
      </c>
      <c r="J47" s="150"/>
      <c r="K47" s="39">
        <f>+SUMIFS('2026 Lighting Rates'!B:B,'2026 Lighting Rates'!A:A,A47)</f>
        <v>23.74</v>
      </c>
      <c r="L47" s="39">
        <f>+SUMIFS('2026 Lighting Rates'!C:C,'2026 Lighting Rates'!A:A,A47)</f>
        <v>8.17</v>
      </c>
      <c r="M47" s="39">
        <f t="shared" si="9"/>
        <v>31.909999999999997</v>
      </c>
      <c r="N47" s="39">
        <f t="shared" si="10"/>
        <v>0</v>
      </c>
      <c r="O47" s="8"/>
      <c r="P47" s="47">
        <f t="shared" si="11"/>
        <v>23.74</v>
      </c>
      <c r="Q47" s="47">
        <f t="shared" si="12"/>
        <v>8.17</v>
      </c>
      <c r="R47" s="47">
        <f t="shared" si="13"/>
        <v>31.909999999999997</v>
      </c>
      <c r="S47" s="35">
        <f t="shared" si="14"/>
        <v>0</v>
      </c>
      <c r="T47" s="183">
        <f t="shared" si="15"/>
        <v>0</v>
      </c>
    </row>
    <row r="48" spans="1:20" ht="17.100000000000001" customHeight="1" x14ac:dyDescent="0.25">
      <c r="A48" s="148"/>
      <c r="B48" s="148"/>
      <c r="D48" s="57">
        <v>37</v>
      </c>
      <c r="E48" s="10" t="s">
        <v>982</v>
      </c>
      <c r="F48" s="8"/>
      <c r="H48" s="8"/>
      <c r="I48" s="8"/>
      <c r="J48" s="8"/>
      <c r="K48" s="8"/>
      <c r="L48" s="8"/>
      <c r="M48" s="8"/>
      <c r="N48" s="198">
        <f>SUM(N34:N47)</f>
        <v>0</v>
      </c>
      <c r="O48" s="198"/>
      <c r="P48" s="8"/>
      <c r="Q48" s="8"/>
      <c r="R48" s="8"/>
      <c r="S48" s="198">
        <f>SUM(S34:S47)</f>
        <v>0</v>
      </c>
      <c r="T48" s="183">
        <f t="shared" si="15"/>
        <v>0</v>
      </c>
    </row>
    <row r="49" spans="1:20" ht="17.100000000000001" customHeight="1" x14ac:dyDescent="0.25">
      <c r="A49" s="148"/>
      <c r="B49" s="148"/>
      <c r="D49" s="57">
        <v>38</v>
      </c>
      <c r="E49" s="10"/>
      <c r="F49" s="8"/>
      <c r="H49" s="8"/>
      <c r="I49" s="8"/>
      <c r="J49" s="8"/>
      <c r="K49" s="8"/>
      <c r="L49" s="8"/>
      <c r="M49" s="8"/>
      <c r="N49" s="198"/>
      <c r="O49" s="198"/>
      <c r="P49" s="8"/>
      <c r="Q49" s="8"/>
      <c r="R49" s="8"/>
      <c r="S49" s="198"/>
      <c r="T49" s="8"/>
    </row>
    <row r="50" spans="1:20" ht="17.100000000000001" customHeight="1" x14ac:dyDescent="0.25">
      <c r="A50" s="148"/>
      <c r="B50" s="148"/>
      <c r="D50" s="57">
        <v>39</v>
      </c>
      <c r="E50" s="10"/>
      <c r="F50" s="8"/>
      <c r="H50" s="8"/>
      <c r="I50" s="8"/>
      <c r="J50" s="8"/>
      <c r="K50" s="8"/>
      <c r="L50" s="8"/>
      <c r="M50" s="8"/>
      <c r="N50" s="198"/>
      <c r="O50" s="198"/>
      <c r="P50" s="8"/>
      <c r="Q50" s="8"/>
      <c r="R50" s="8"/>
      <c r="S50" s="198"/>
      <c r="T50" s="8"/>
    </row>
    <row r="51" spans="1:20" ht="17.100000000000001" customHeight="1" thickBot="1" x14ac:dyDescent="0.3">
      <c r="A51" s="148"/>
      <c r="B51" s="148"/>
      <c r="D51" s="58">
        <v>40</v>
      </c>
      <c r="E51" s="9"/>
      <c r="F51" s="9"/>
      <c r="G51" s="207"/>
      <c r="H51" s="207"/>
      <c r="I51" s="207"/>
      <c r="J51" s="9"/>
      <c r="K51" s="9"/>
      <c r="L51" s="9"/>
      <c r="M51" s="9"/>
      <c r="N51" s="9"/>
      <c r="O51" s="228"/>
      <c r="P51" s="228"/>
      <c r="Q51" s="9"/>
      <c r="R51" s="9"/>
      <c r="S51" s="9"/>
      <c r="T51" s="13" t="s">
        <v>1001</v>
      </c>
    </row>
    <row r="52" spans="1:20" ht="17.100000000000001" customHeight="1" x14ac:dyDescent="0.25">
      <c r="A52" s="148"/>
      <c r="B52" s="148"/>
      <c r="D52" s="8" t="s">
        <v>1002</v>
      </c>
      <c r="E52" s="8"/>
      <c r="F52" s="8"/>
      <c r="G52" s="218"/>
      <c r="H52" s="8"/>
      <c r="I52" s="8"/>
      <c r="J52" s="8"/>
      <c r="K52" s="8"/>
      <c r="L52" s="8"/>
      <c r="M52" s="8"/>
      <c r="N52" s="8"/>
      <c r="O52" s="8"/>
      <c r="P52" s="8"/>
      <c r="Q52" s="8"/>
      <c r="R52" s="8" t="s">
        <v>1003</v>
      </c>
      <c r="S52" s="8"/>
      <c r="T52" s="8"/>
    </row>
    <row r="53" spans="1:20" ht="17.100000000000001" customHeight="1" thickBot="1" x14ac:dyDescent="0.3">
      <c r="A53" s="148"/>
      <c r="B53" s="148"/>
      <c r="D53" s="9" t="str">
        <f>+$D$1</f>
        <v>SCHEDULE E-13d</v>
      </c>
      <c r="E53" s="9"/>
      <c r="F53" s="9"/>
      <c r="G53" s="9"/>
      <c r="H53" s="9"/>
      <c r="I53" s="9" t="str">
        <f>+$I$1</f>
        <v>REVENUE BY RATE SCHEDULE - LIGHTING SCHEDULE CALCULATION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 t="s">
        <v>1004</v>
      </c>
    </row>
    <row r="54" spans="1:20" ht="17.100000000000001" customHeight="1" x14ac:dyDescent="0.25">
      <c r="A54" s="148"/>
      <c r="B54" s="148"/>
      <c r="D54" s="8" t="s">
        <v>307</v>
      </c>
      <c r="E54" s="8"/>
      <c r="F54" s="8"/>
      <c r="I54" s="11" t="s">
        <v>1005</v>
      </c>
      <c r="J54" s="8" t="s">
        <v>1228</v>
      </c>
      <c r="K54" s="8"/>
      <c r="L54" s="99"/>
      <c r="M54" s="99"/>
      <c r="N54" s="8"/>
      <c r="O54" s="8"/>
      <c r="P54" s="99"/>
      <c r="Q54" s="99" t="s">
        <v>309</v>
      </c>
      <c r="R54" s="8"/>
      <c r="S54" s="8"/>
      <c r="T54" s="10"/>
    </row>
    <row r="55" spans="1:20" ht="17.100000000000001" customHeight="1" x14ac:dyDescent="0.25">
      <c r="A55" s="148"/>
      <c r="B55" s="148"/>
      <c r="D55" s="8"/>
      <c r="E55" s="8"/>
      <c r="F55" s="8"/>
      <c r="G55" s="8"/>
      <c r="H55" s="8" t="str">
        <f>IF(+$H$3="","",$H$3)</f>
        <v/>
      </c>
      <c r="I55" s="8"/>
      <c r="J55" s="8" t="s">
        <v>1229</v>
      </c>
      <c r="K55" s="8"/>
      <c r="L55" s="11"/>
      <c r="M55" s="10"/>
      <c r="N55" s="8"/>
      <c r="O55" s="8"/>
      <c r="P55" s="8"/>
      <c r="Q55" s="224"/>
      <c r="R55" s="117" t="s">
        <v>916</v>
      </c>
      <c r="S55" s="116" t="s">
        <v>1512</v>
      </c>
      <c r="T55" s="11"/>
    </row>
    <row r="56" spans="1:20" ht="17.100000000000001" customHeight="1" x14ac:dyDescent="0.25">
      <c r="A56" s="148"/>
      <c r="B56" s="148"/>
      <c r="D56" s="8" t="s">
        <v>310</v>
      </c>
      <c r="E56" s="8"/>
      <c r="F56" s="8"/>
      <c r="G56" s="8"/>
      <c r="H56" s="8" t="str">
        <f>IF(+$H$4="","",$H$4)</f>
        <v/>
      </c>
      <c r="I56" s="8"/>
      <c r="J56" s="8" t="s">
        <v>1230</v>
      </c>
      <c r="K56" s="8"/>
      <c r="L56" s="11"/>
      <c r="M56" s="10"/>
      <c r="N56" s="11"/>
      <c r="O56" s="11"/>
      <c r="P56" s="8"/>
      <c r="Q56" s="11"/>
      <c r="R56" s="265"/>
      <c r="S56" s="116"/>
      <c r="T56" s="11"/>
    </row>
    <row r="57" spans="1:20" ht="17.100000000000001" customHeight="1" x14ac:dyDescent="0.25">
      <c r="A57" s="148"/>
      <c r="B57" s="148"/>
      <c r="D57" s="8"/>
      <c r="E57" s="8"/>
      <c r="F57" s="8"/>
      <c r="G57" s="8"/>
      <c r="H57" s="8" t="str">
        <f>IF(+$H$5="","",$H$5)</f>
        <v/>
      </c>
      <c r="I57" s="8"/>
      <c r="J57" s="8" t="s">
        <v>1231</v>
      </c>
      <c r="K57" s="8"/>
      <c r="L57" s="11"/>
      <c r="M57" s="10"/>
      <c r="N57" s="11"/>
      <c r="O57" s="11"/>
      <c r="P57" s="8"/>
      <c r="Q57" s="11"/>
      <c r="R57" s="265"/>
      <c r="S57" s="116"/>
      <c r="T57" s="11"/>
    </row>
    <row r="58" spans="1:20" ht="17.100000000000001" customHeight="1" thickBot="1" x14ac:dyDescent="0.3">
      <c r="A58" s="148"/>
      <c r="B58" s="148"/>
      <c r="D58" s="9" t="str">
        <f>+$D$6</f>
        <v>DOCKET No. 20240026-EI</v>
      </c>
      <c r="E58" s="9"/>
      <c r="F58" s="9"/>
      <c r="G58" s="9"/>
      <c r="H58" s="9" t="str">
        <f>IF(+$H$8="","",$H$8)</f>
        <v/>
      </c>
      <c r="I58" s="9"/>
      <c r="J58" s="9"/>
      <c r="K58" s="58"/>
      <c r="L58" s="9"/>
      <c r="M58" s="9"/>
      <c r="N58" s="9"/>
      <c r="O58" s="9"/>
      <c r="P58" s="9"/>
      <c r="Q58" s="9"/>
      <c r="R58" s="264"/>
      <c r="S58" s="114" t="s">
        <v>1519</v>
      </c>
      <c r="T58" s="9"/>
    </row>
    <row r="59" spans="1:20" ht="17.100000000000001" customHeight="1" x14ac:dyDescent="0.25">
      <c r="A59" s="148"/>
      <c r="B59" s="148"/>
      <c r="D59" s="225"/>
      <c r="E59" s="383" t="s">
        <v>946</v>
      </c>
      <c r="F59" s="383"/>
      <c r="G59" s="383"/>
      <c r="H59" s="383"/>
      <c r="I59" s="383"/>
      <c r="J59" s="383"/>
      <c r="K59" s="383"/>
      <c r="L59" s="383"/>
      <c r="M59" s="383"/>
      <c r="N59" s="383"/>
      <c r="O59" s="383"/>
      <c r="P59" s="383"/>
      <c r="Q59" s="383"/>
      <c r="R59" s="383"/>
      <c r="S59" s="383"/>
      <c r="T59" s="383"/>
    </row>
    <row r="60" spans="1:20" ht="17.100000000000001" customHeight="1" x14ac:dyDescent="0.25">
      <c r="A60" s="148"/>
      <c r="B60" s="148"/>
      <c r="D60" s="8"/>
      <c r="E60" s="57"/>
      <c r="F60" s="12"/>
      <c r="G60" s="12"/>
      <c r="H60" s="12"/>
      <c r="I60" s="12"/>
      <c r="J60" s="12"/>
      <c r="K60" s="384" t="s">
        <v>947</v>
      </c>
      <c r="L60" s="384"/>
      <c r="M60" s="384"/>
      <c r="N60" s="384"/>
      <c r="O60" s="12"/>
      <c r="P60" s="384" t="s">
        <v>871</v>
      </c>
      <c r="Q60" s="384"/>
      <c r="R60" s="384"/>
      <c r="S60" s="384"/>
      <c r="T60" s="12"/>
    </row>
    <row r="61" spans="1:20" ht="17.100000000000001" customHeight="1" x14ac:dyDescent="0.25">
      <c r="A61" s="148"/>
      <c r="B61" s="148"/>
      <c r="D61" s="8"/>
      <c r="E61" s="57"/>
      <c r="F61" s="12"/>
      <c r="G61" s="57" t="s">
        <v>948</v>
      </c>
      <c r="H61" s="12" t="s">
        <v>949</v>
      </c>
      <c r="I61" s="57"/>
      <c r="J61" s="57"/>
      <c r="K61" s="57" t="s">
        <v>950</v>
      </c>
      <c r="L61" s="57" t="s">
        <v>950</v>
      </c>
      <c r="M61" s="57" t="s">
        <v>951</v>
      </c>
      <c r="N61" s="12" t="s">
        <v>806</v>
      </c>
      <c r="O61" s="12"/>
      <c r="P61" s="57" t="s">
        <v>950</v>
      </c>
      <c r="Q61" s="57" t="s">
        <v>950</v>
      </c>
      <c r="R61" s="57" t="s">
        <v>951</v>
      </c>
      <c r="S61" s="57" t="s">
        <v>806</v>
      </c>
      <c r="T61" s="57"/>
    </row>
    <row r="62" spans="1:20" ht="17.100000000000001" customHeight="1" x14ac:dyDescent="0.25">
      <c r="A62" s="148"/>
      <c r="B62" s="148"/>
      <c r="D62" s="57" t="s">
        <v>313</v>
      </c>
      <c r="E62" s="57" t="s">
        <v>314</v>
      </c>
      <c r="F62" s="57"/>
      <c r="G62" s="57" t="s">
        <v>952</v>
      </c>
      <c r="H62" s="57" t="s">
        <v>950</v>
      </c>
      <c r="I62" s="12" t="s">
        <v>948</v>
      </c>
      <c r="J62" s="12"/>
      <c r="K62" s="12" t="s">
        <v>953</v>
      </c>
      <c r="L62" s="12" t="s">
        <v>954</v>
      </c>
      <c r="M62" s="12" t="s">
        <v>950</v>
      </c>
      <c r="N62" s="57" t="s">
        <v>335</v>
      </c>
      <c r="O62" s="57"/>
      <c r="P62" s="12" t="s">
        <v>953</v>
      </c>
      <c r="Q62" s="12" t="s">
        <v>954</v>
      </c>
      <c r="R62" s="12" t="s">
        <v>950</v>
      </c>
      <c r="S62" s="12" t="s">
        <v>335</v>
      </c>
      <c r="T62" s="12" t="s">
        <v>855</v>
      </c>
    </row>
    <row r="63" spans="1:20" ht="17.100000000000001" customHeight="1" thickBot="1" x14ac:dyDescent="0.3">
      <c r="A63" s="148"/>
      <c r="B63" s="148"/>
      <c r="D63" s="58" t="s">
        <v>319</v>
      </c>
      <c r="E63" s="58" t="s">
        <v>953</v>
      </c>
      <c r="F63" s="58"/>
      <c r="G63" s="58" t="s">
        <v>955</v>
      </c>
      <c r="H63" s="58" t="s">
        <v>710</v>
      </c>
      <c r="I63" s="14" t="s">
        <v>710</v>
      </c>
      <c r="J63" s="14"/>
      <c r="K63" s="14" t="s">
        <v>956</v>
      </c>
      <c r="L63" s="14" t="s">
        <v>956</v>
      </c>
      <c r="M63" s="14" t="s">
        <v>956</v>
      </c>
      <c r="N63" s="14" t="s">
        <v>317</v>
      </c>
      <c r="O63" s="14"/>
      <c r="P63" s="14" t="s">
        <v>956</v>
      </c>
      <c r="Q63" s="14" t="s">
        <v>956</v>
      </c>
      <c r="R63" s="14" t="s">
        <v>956</v>
      </c>
      <c r="S63" s="14" t="s">
        <v>317</v>
      </c>
      <c r="T63" s="14" t="s">
        <v>325</v>
      </c>
    </row>
    <row r="64" spans="1:20" ht="17.100000000000001" customHeight="1" x14ac:dyDescent="0.25">
      <c r="A64" s="148"/>
      <c r="B64" s="148"/>
      <c r="D64" s="57">
        <v>1</v>
      </c>
      <c r="E64" s="200" t="s">
        <v>1006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</row>
    <row r="65" spans="1:20" ht="17.100000000000001" customHeight="1" x14ac:dyDescent="0.25">
      <c r="A65" s="148"/>
      <c r="B65" s="148"/>
      <c r="D65" s="57">
        <v>2</v>
      </c>
      <c r="E65" s="385" t="s">
        <v>1007</v>
      </c>
      <c r="F65" s="385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</row>
    <row r="66" spans="1:20" ht="17.100000000000001" customHeight="1" x14ac:dyDescent="0.25">
      <c r="A66" s="148">
        <v>860</v>
      </c>
      <c r="B66" s="148"/>
      <c r="D66" s="57">
        <v>3</v>
      </c>
      <c r="E66" s="8" t="s">
        <v>1008</v>
      </c>
      <c r="F66" s="11" t="s">
        <v>960</v>
      </c>
      <c r="G66" s="32">
        <f>+SUMIFS('2025 Lighting BDs'!C:C,'2025 Lighting BDs'!B:B,'E-13d'!A66)</f>
        <v>0</v>
      </c>
      <c r="H66" s="32">
        <v>10</v>
      </c>
      <c r="I66" s="150">
        <f t="shared" ref="I66:I82" si="16">+H66*G66</f>
        <v>0</v>
      </c>
      <c r="J66" s="33"/>
      <c r="K66" s="39">
        <f>+SUMIFS('2026 Lighting Rates'!B:B,'2026 Lighting Rates'!A:A,A66)</f>
        <v>4.54</v>
      </c>
      <c r="L66" s="39">
        <f>+SUMIFS('2026 Lighting Rates'!C:C,'2026 Lighting Rates'!A:A,A66)</f>
        <v>2.48</v>
      </c>
      <c r="M66" s="47">
        <f t="shared" ref="M66:M78" si="17">+K66+L66</f>
        <v>7.02</v>
      </c>
      <c r="N66" s="31">
        <f t="shared" ref="N66:N82" si="18">+M66*G66</f>
        <v>0</v>
      </c>
      <c r="O66" s="35"/>
      <c r="P66" s="47">
        <f t="shared" ref="P66:P82" si="19">+K66</f>
        <v>4.54</v>
      </c>
      <c r="Q66" s="47">
        <f t="shared" ref="Q66:Q82" si="20">+L66</f>
        <v>2.48</v>
      </c>
      <c r="R66" s="47">
        <f t="shared" ref="R66:R82" si="21">+P66+Q66</f>
        <v>7.02</v>
      </c>
      <c r="S66" s="31">
        <f t="shared" ref="S66:S82" si="22">+R66*G66</f>
        <v>0</v>
      </c>
      <c r="T66" s="183">
        <f t="shared" ref="T66:T83" si="23">IF(S66=0,0,(S66-N66)/N66)</f>
        <v>0</v>
      </c>
    </row>
    <row r="67" spans="1:20" ht="17.100000000000001" customHeight="1" x14ac:dyDescent="0.25">
      <c r="A67" s="148">
        <v>862</v>
      </c>
      <c r="B67" s="148"/>
      <c r="D67" s="57">
        <v>4</v>
      </c>
      <c r="E67" s="8" t="s">
        <v>1009</v>
      </c>
      <c r="F67" s="11" t="s">
        <v>962</v>
      </c>
      <c r="G67" s="32">
        <f>+SUMIFS('2025 Lighting BDs'!C:C,'2025 Lighting BDs'!B:B,'E-13d'!A67)</f>
        <v>0</v>
      </c>
      <c r="H67" s="32">
        <v>14</v>
      </c>
      <c r="I67" s="150">
        <f t="shared" si="16"/>
        <v>0</v>
      </c>
      <c r="J67" s="33"/>
      <c r="K67" s="39">
        <f>+SUMIFS('2026 Lighting Rates'!B:B,'2026 Lighting Rates'!A:A,A67)</f>
        <v>4.6100000000000003</v>
      </c>
      <c r="L67" s="39">
        <f>+SUMIFS('2026 Lighting Rates'!C:C,'2026 Lighting Rates'!A:A,A67)</f>
        <v>2.11</v>
      </c>
      <c r="M67" s="47">
        <f t="shared" si="17"/>
        <v>6.7200000000000006</v>
      </c>
      <c r="N67" s="31">
        <f t="shared" si="18"/>
        <v>0</v>
      </c>
      <c r="O67" s="32"/>
      <c r="P67" s="47">
        <f t="shared" si="19"/>
        <v>4.6100000000000003</v>
      </c>
      <c r="Q67" s="47">
        <f t="shared" si="20"/>
        <v>2.11</v>
      </c>
      <c r="R67" s="47">
        <f t="shared" si="21"/>
        <v>6.7200000000000006</v>
      </c>
      <c r="S67" s="31">
        <f t="shared" si="22"/>
        <v>0</v>
      </c>
      <c r="T67" s="183">
        <f t="shared" si="23"/>
        <v>0</v>
      </c>
    </row>
    <row r="68" spans="1:20" ht="17.100000000000001" customHeight="1" x14ac:dyDescent="0.25">
      <c r="A68" s="148">
        <v>863</v>
      </c>
      <c r="B68" s="148"/>
      <c r="D68" s="57">
        <v>5</v>
      </c>
      <c r="E68" s="8" t="s">
        <v>1010</v>
      </c>
      <c r="F68" s="11" t="s">
        <v>964</v>
      </c>
      <c r="G68" s="32">
        <f>+SUMIFS('2025 Lighting BDs'!C:C,'2025 Lighting BDs'!B:B,'E-13d'!A68)</f>
        <v>0</v>
      </c>
      <c r="H68" s="32">
        <v>22</v>
      </c>
      <c r="I68" s="150">
        <f t="shared" si="16"/>
        <v>0</v>
      </c>
      <c r="J68" s="33"/>
      <c r="K68" s="39">
        <f>+SUMIFS('2026 Lighting Rates'!B:B,'2026 Lighting Rates'!A:A,A68)</f>
        <v>5.22</v>
      </c>
      <c r="L68" s="39">
        <f>+SUMIFS('2026 Lighting Rates'!C:C,'2026 Lighting Rates'!A:A,A68)</f>
        <v>2.33</v>
      </c>
      <c r="M68" s="47">
        <f t="shared" si="17"/>
        <v>7.55</v>
      </c>
      <c r="N68" s="31">
        <f t="shared" si="18"/>
        <v>0</v>
      </c>
      <c r="O68" s="32"/>
      <c r="P68" s="47">
        <f t="shared" si="19"/>
        <v>5.22</v>
      </c>
      <c r="Q68" s="47">
        <f t="shared" si="20"/>
        <v>2.33</v>
      </c>
      <c r="R68" s="47">
        <f t="shared" si="21"/>
        <v>7.55</v>
      </c>
      <c r="S68" s="31">
        <f t="shared" si="22"/>
        <v>0</v>
      </c>
      <c r="T68" s="183">
        <f t="shared" si="23"/>
        <v>0</v>
      </c>
    </row>
    <row r="69" spans="1:20" ht="17.100000000000001" customHeight="1" x14ac:dyDescent="0.25">
      <c r="A69" s="148">
        <v>864</v>
      </c>
      <c r="B69" s="148"/>
      <c r="D69" s="57">
        <v>6</v>
      </c>
      <c r="E69" s="8" t="s">
        <v>1011</v>
      </c>
      <c r="F69" s="11" t="s">
        <v>966</v>
      </c>
      <c r="G69" s="32">
        <f>+SUMIFS('2025 Lighting BDs'!C:C,'2025 Lighting BDs'!B:B,'E-13d'!A69)</f>
        <v>0</v>
      </c>
      <c r="H69" s="32">
        <v>33</v>
      </c>
      <c r="I69" s="151">
        <f t="shared" si="16"/>
        <v>0</v>
      </c>
      <c r="J69" s="33"/>
      <c r="K69" s="39">
        <f>+SUMIFS('2026 Lighting Rates'!B:B,'2026 Lighting Rates'!A:A,A69)</f>
        <v>6.01</v>
      </c>
      <c r="L69" s="39">
        <f>+SUMIFS('2026 Lighting Rates'!C:C,'2026 Lighting Rates'!A:A,A69)</f>
        <v>2.02</v>
      </c>
      <c r="M69" s="47">
        <f t="shared" si="17"/>
        <v>8.0299999999999994</v>
      </c>
      <c r="N69" s="31">
        <f t="shared" si="18"/>
        <v>0</v>
      </c>
      <c r="O69" s="32"/>
      <c r="P69" s="47">
        <f t="shared" si="19"/>
        <v>6.01</v>
      </c>
      <c r="Q69" s="47">
        <f t="shared" si="20"/>
        <v>2.02</v>
      </c>
      <c r="R69" s="47">
        <f t="shared" si="21"/>
        <v>8.0299999999999994</v>
      </c>
      <c r="S69" s="31">
        <f t="shared" si="22"/>
        <v>0</v>
      </c>
      <c r="T69" s="183">
        <f t="shared" si="23"/>
        <v>0</v>
      </c>
    </row>
    <row r="70" spans="1:20" ht="17.100000000000001" customHeight="1" x14ac:dyDescent="0.25">
      <c r="A70" s="148">
        <v>865</v>
      </c>
      <c r="B70" s="148"/>
      <c r="D70" s="57">
        <v>7</v>
      </c>
      <c r="E70" s="8" t="s">
        <v>1012</v>
      </c>
      <c r="F70" s="11" t="s">
        <v>968</v>
      </c>
      <c r="G70" s="32">
        <f>+SUMIFS('2025 Lighting BDs'!C:C,'2025 Lighting BDs'!B:B,'E-13d'!A70)</f>
        <v>0</v>
      </c>
      <c r="H70" s="32">
        <v>52</v>
      </c>
      <c r="I70" s="150">
        <f t="shared" si="16"/>
        <v>0</v>
      </c>
      <c r="J70" s="33"/>
      <c r="K70" s="39">
        <f>+SUMIFS('2026 Lighting Rates'!B:B,'2026 Lighting Rates'!A:A,A70)</f>
        <v>7.01</v>
      </c>
      <c r="L70" s="39">
        <f>+SUMIFS('2026 Lighting Rates'!C:C,'2026 Lighting Rates'!A:A,A70)</f>
        <v>2.6</v>
      </c>
      <c r="M70" s="47">
        <f t="shared" si="17"/>
        <v>9.61</v>
      </c>
      <c r="N70" s="31">
        <f t="shared" si="18"/>
        <v>0</v>
      </c>
      <c r="O70" s="32"/>
      <c r="P70" s="47">
        <f t="shared" si="19"/>
        <v>7.01</v>
      </c>
      <c r="Q70" s="47">
        <f t="shared" si="20"/>
        <v>2.6</v>
      </c>
      <c r="R70" s="47">
        <f t="shared" si="21"/>
        <v>9.61</v>
      </c>
      <c r="S70" s="31">
        <f t="shared" si="22"/>
        <v>0</v>
      </c>
      <c r="T70" s="183">
        <f t="shared" si="23"/>
        <v>0</v>
      </c>
    </row>
    <row r="71" spans="1:20" ht="17.100000000000001" customHeight="1" x14ac:dyDescent="0.25">
      <c r="A71" s="148">
        <v>866</v>
      </c>
      <c r="B71" s="148"/>
      <c r="D71" s="57">
        <v>8</v>
      </c>
      <c r="E71" s="8" t="s">
        <v>1013</v>
      </c>
      <c r="F71" s="11" t="s">
        <v>970</v>
      </c>
      <c r="G71" s="32">
        <f>+SUMIFS('2025 Lighting BDs'!C:C,'2025 Lighting BDs'!B:B,'E-13d'!A71)</f>
        <v>0</v>
      </c>
      <c r="H71" s="32">
        <v>81</v>
      </c>
      <c r="I71" s="151">
        <f t="shared" si="16"/>
        <v>0</v>
      </c>
      <c r="J71" s="33"/>
      <c r="K71" s="39">
        <f>+SUMIFS('2026 Lighting Rates'!B:B,'2026 Lighting Rates'!A:A,A71)</f>
        <v>7.32</v>
      </c>
      <c r="L71" s="39">
        <f>+SUMIFS('2026 Lighting Rates'!C:C,'2026 Lighting Rates'!A:A,A71)</f>
        <v>2.99</v>
      </c>
      <c r="M71" s="47">
        <f t="shared" si="17"/>
        <v>10.31</v>
      </c>
      <c r="N71" s="31">
        <f t="shared" si="18"/>
        <v>0</v>
      </c>
      <c r="O71" s="32"/>
      <c r="P71" s="47">
        <f t="shared" si="19"/>
        <v>7.32</v>
      </c>
      <c r="Q71" s="47">
        <f t="shared" si="20"/>
        <v>2.99</v>
      </c>
      <c r="R71" s="47">
        <f t="shared" si="21"/>
        <v>10.31</v>
      </c>
      <c r="S71" s="31">
        <f t="shared" si="22"/>
        <v>0</v>
      </c>
      <c r="T71" s="183">
        <f t="shared" si="23"/>
        <v>0</v>
      </c>
    </row>
    <row r="72" spans="1:20" ht="17.100000000000001" customHeight="1" x14ac:dyDescent="0.25">
      <c r="A72" s="148">
        <v>454</v>
      </c>
      <c r="B72" s="148"/>
      <c r="D72" s="57">
        <v>9</v>
      </c>
      <c r="E72" s="8" t="s">
        <v>1014</v>
      </c>
      <c r="F72" s="11" t="s">
        <v>968</v>
      </c>
      <c r="G72" s="32">
        <f>+SUMIFS('2025 Lighting BDs'!C:C,'2025 Lighting BDs'!B:B,'E-13d'!A72)</f>
        <v>0</v>
      </c>
      <c r="H72" s="32">
        <v>52</v>
      </c>
      <c r="I72" s="150">
        <f t="shared" si="16"/>
        <v>0</v>
      </c>
      <c r="J72" s="33"/>
      <c r="K72" s="39">
        <f>+SUMIFS('2026 Lighting Rates'!B:B,'2026 Lighting Rates'!A:A,A72)</f>
        <v>7.72</v>
      </c>
      <c r="L72" s="39">
        <f>+SUMIFS('2026 Lighting Rates'!C:C,'2026 Lighting Rates'!A:A,A72)</f>
        <v>2.6</v>
      </c>
      <c r="M72" s="47">
        <f t="shared" si="17"/>
        <v>10.32</v>
      </c>
      <c r="N72" s="31">
        <f t="shared" si="18"/>
        <v>0</v>
      </c>
      <c r="O72" s="32"/>
      <c r="P72" s="47">
        <f t="shared" si="19"/>
        <v>7.72</v>
      </c>
      <c r="Q72" s="47">
        <f t="shared" si="20"/>
        <v>2.6</v>
      </c>
      <c r="R72" s="47">
        <f t="shared" si="21"/>
        <v>10.32</v>
      </c>
      <c r="S72" s="31">
        <f t="shared" si="22"/>
        <v>0</v>
      </c>
      <c r="T72" s="183">
        <f t="shared" si="23"/>
        <v>0</v>
      </c>
    </row>
    <row r="73" spans="1:20" ht="17.100000000000001" customHeight="1" x14ac:dyDescent="0.25">
      <c r="A73" s="148">
        <v>484</v>
      </c>
      <c r="B73" s="148"/>
      <c r="D73" s="57">
        <v>10</v>
      </c>
      <c r="E73" s="8" t="s">
        <v>1015</v>
      </c>
      <c r="F73" s="11" t="s">
        <v>970</v>
      </c>
      <c r="G73" s="32">
        <f>+SUMIFS('2025 Lighting BDs'!C:C,'2025 Lighting BDs'!B:B,'E-13d'!A73)</f>
        <v>0</v>
      </c>
      <c r="H73" s="32">
        <v>81</v>
      </c>
      <c r="I73" s="150">
        <f t="shared" si="16"/>
        <v>0</v>
      </c>
      <c r="J73" s="33"/>
      <c r="K73" s="39">
        <f>+SUMIFS('2026 Lighting Rates'!B:B,'2026 Lighting Rates'!A:A,A73)</f>
        <v>8.2200000000000006</v>
      </c>
      <c r="L73" s="39">
        <f>+SUMIFS('2026 Lighting Rates'!C:C,'2026 Lighting Rates'!A:A,A73)</f>
        <v>3</v>
      </c>
      <c r="M73" s="47">
        <f t="shared" si="17"/>
        <v>11.22</v>
      </c>
      <c r="N73" s="31">
        <f t="shared" si="18"/>
        <v>0</v>
      </c>
      <c r="O73" s="32"/>
      <c r="P73" s="47">
        <f t="shared" si="19"/>
        <v>8.2200000000000006</v>
      </c>
      <c r="Q73" s="47">
        <f t="shared" si="20"/>
        <v>3</v>
      </c>
      <c r="R73" s="47">
        <f t="shared" si="21"/>
        <v>11.22</v>
      </c>
      <c r="S73" s="31">
        <f t="shared" si="22"/>
        <v>0</v>
      </c>
      <c r="T73" s="183">
        <f t="shared" si="23"/>
        <v>0</v>
      </c>
    </row>
    <row r="74" spans="1:20" ht="17.100000000000001" customHeight="1" x14ac:dyDescent="0.25">
      <c r="A74" s="148">
        <v>869</v>
      </c>
      <c r="B74" s="148"/>
      <c r="D74" s="57">
        <v>11</v>
      </c>
      <c r="E74" s="8" t="s">
        <v>1016</v>
      </c>
      <c r="F74" s="11" t="s">
        <v>970</v>
      </c>
      <c r="G74" s="32">
        <f>+SUMIFS('2025 Lighting BDs'!C:C,'2025 Lighting BDs'!B:B,'E-13d'!A74)</f>
        <v>0</v>
      </c>
      <c r="H74" s="32">
        <v>81</v>
      </c>
      <c r="I74" s="32">
        <f>+H74*G74</f>
        <v>0</v>
      </c>
      <c r="J74" s="33"/>
      <c r="K74" s="39">
        <f>+SUMIFS('2026 Lighting Rates'!B:B,'2026 Lighting Rates'!A:A,A74)</f>
        <v>9.35</v>
      </c>
      <c r="L74" s="39">
        <f>+SUMIFS('2026 Lighting Rates'!C:C,'2026 Lighting Rates'!A:A,A74)</f>
        <v>3.02</v>
      </c>
      <c r="M74" s="47">
        <f t="shared" si="17"/>
        <v>12.37</v>
      </c>
      <c r="N74" s="31">
        <f t="shared" si="18"/>
        <v>0</v>
      </c>
      <c r="O74" s="32"/>
      <c r="P74" s="47">
        <f t="shared" si="19"/>
        <v>9.35</v>
      </c>
      <c r="Q74" s="47">
        <f t="shared" si="20"/>
        <v>3.02</v>
      </c>
      <c r="R74" s="47">
        <f t="shared" si="21"/>
        <v>12.37</v>
      </c>
      <c r="S74" s="31">
        <f t="shared" si="22"/>
        <v>0</v>
      </c>
      <c r="T74" s="183">
        <f t="shared" si="23"/>
        <v>0</v>
      </c>
    </row>
    <row r="75" spans="1:20" ht="17.100000000000001" customHeight="1" x14ac:dyDescent="0.25">
      <c r="A75" s="148">
        <v>508</v>
      </c>
      <c r="B75" s="148"/>
      <c r="D75" s="57">
        <v>12</v>
      </c>
      <c r="E75" s="8" t="s">
        <v>1017</v>
      </c>
      <c r="F75" s="11" t="s">
        <v>960</v>
      </c>
      <c r="G75" s="32">
        <f>+SUMIFS('2025 Lighting BDs'!C:C,'2025 Lighting BDs'!B:B,'E-13d'!A75)</f>
        <v>0</v>
      </c>
      <c r="H75" s="32">
        <v>10</v>
      </c>
      <c r="I75" s="150">
        <f t="shared" si="16"/>
        <v>0</v>
      </c>
      <c r="J75" s="33"/>
      <c r="K75" s="39">
        <f>+SUMIFS('2026 Lighting Rates'!B:B,'2026 Lighting Rates'!A:A,A75)</f>
        <v>4.43</v>
      </c>
      <c r="L75" s="39">
        <f>+SUMIFS('2026 Lighting Rates'!C:C,'2026 Lighting Rates'!A:A,A75)</f>
        <v>2.48</v>
      </c>
      <c r="M75" s="47">
        <f t="shared" si="17"/>
        <v>6.91</v>
      </c>
      <c r="N75" s="31">
        <f t="shared" si="18"/>
        <v>0</v>
      </c>
      <c r="O75" s="32"/>
      <c r="P75" s="47">
        <f t="shared" si="19"/>
        <v>4.43</v>
      </c>
      <c r="Q75" s="47">
        <f t="shared" si="20"/>
        <v>2.48</v>
      </c>
      <c r="R75" s="47">
        <f t="shared" si="21"/>
        <v>6.91</v>
      </c>
      <c r="S75" s="31">
        <f t="shared" si="22"/>
        <v>0</v>
      </c>
      <c r="T75" s="183">
        <f t="shared" si="23"/>
        <v>0</v>
      </c>
    </row>
    <row r="76" spans="1:20" ht="17.100000000000001" customHeight="1" x14ac:dyDescent="0.25">
      <c r="A76" s="148">
        <v>530</v>
      </c>
      <c r="B76" s="148"/>
      <c r="D76" s="57">
        <v>13</v>
      </c>
      <c r="E76" s="8" t="s">
        <v>1018</v>
      </c>
      <c r="F76" s="11" t="s">
        <v>964</v>
      </c>
      <c r="G76" s="32">
        <f>+SUMIFS('2025 Lighting BDs'!C:C,'2025 Lighting BDs'!B:B,'E-13d'!A76)</f>
        <v>0</v>
      </c>
      <c r="H76" s="32">
        <v>22</v>
      </c>
      <c r="I76" s="150">
        <f t="shared" si="16"/>
        <v>0</v>
      </c>
      <c r="J76" s="33"/>
      <c r="K76" s="39">
        <f>+SUMIFS('2026 Lighting Rates'!B:B,'2026 Lighting Rates'!A:A,A76)</f>
        <v>17.05</v>
      </c>
      <c r="L76" s="39">
        <f>+SUMIFS('2026 Lighting Rates'!C:C,'2026 Lighting Rates'!A:A,A76)</f>
        <v>1.89</v>
      </c>
      <c r="M76" s="47">
        <f t="shared" si="17"/>
        <v>18.940000000000001</v>
      </c>
      <c r="N76" s="31">
        <f t="shared" si="18"/>
        <v>0</v>
      </c>
      <c r="O76" s="32"/>
      <c r="P76" s="47">
        <f t="shared" si="19"/>
        <v>17.05</v>
      </c>
      <c r="Q76" s="47">
        <f t="shared" si="20"/>
        <v>1.89</v>
      </c>
      <c r="R76" s="47">
        <f t="shared" si="21"/>
        <v>18.940000000000001</v>
      </c>
      <c r="S76" s="31">
        <f t="shared" si="22"/>
        <v>0</v>
      </c>
      <c r="T76" s="183">
        <f t="shared" si="23"/>
        <v>0</v>
      </c>
    </row>
    <row r="77" spans="1:20" ht="17.100000000000001" customHeight="1" x14ac:dyDescent="0.25">
      <c r="A77" s="148">
        <v>870</v>
      </c>
      <c r="B77" s="148"/>
      <c r="D77" s="57">
        <v>14</v>
      </c>
      <c r="E77" s="8" t="s">
        <v>1019</v>
      </c>
      <c r="F77" s="11" t="s">
        <v>962</v>
      </c>
      <c r="G77" s="32">
        <f>+SUMIFS('2025 Lighting BDs'!C:C,'2025 Lighting BDs'!B:B,'E-13d'!A77)</f>
        <v>0</v>
      </c>
      <c r="H77" s="32">
        <v>14</v>
      </c>
      <c r="I77" s="150">
        <f t="shared" si="16"/>
        <v>0</v>
      </c>
      <c r="J77" s="8"/>
      <c r="K77" s="39">
        <f>+SUMIFS('2026 Lighting Rates'!B:B,'2026 Lighting Rates'!A:A,A77)</f>
        <v>6.78</v>
      </c>
      <c r="L77" s="39">
        <f>+SUMIFS('2026 Lighting Rates'!C:C,'2026 Lighting Rates'!A:A,A77)</f>
        <v>2.11</v>
      </c>
      <c r="M77" s="47">
        <f t="shared" si="17"/>
        <v>8.89</v>
      </c>
      <c r="N77" s="31">
        <f t="shared" si="18"/>
        <v>0</v>
      </c>
      <c r="O77" s="8"/>
      <c r="P77" s="47">
        <f t="shared" si="19"/>
        <v>6.78</v>
      </c>
      <c r="Q77" s="47">
        <f t="shared" si="20"/>
        <v>2.11</v>
      </c>
      <c r="R77" s="47">
        <f t="shared" si="21"/>
        <v>8.89</v>
      </c>
      <c r="S77" s="31">
        <f t="shared" si="22"/>
        <v>0</v>
      </c>
      <c r="T77" s="183">
        <f t="shared" si="23"/>
        <v>0</v>
      </c>
    </row>
    <row r="78" spans="1:20" ht="17.100000000000001" customHeight="1" x14ac:dyDescent="0.25">
      <c r="A78" s="148">
        <v>532</v>
      </c>
      <c r="B78" s="148"/>
      <c r="D78" s="57">
        <v>15</v>
      </c>
      <c r="E78" s="8" t="s">
        <v>1020</v>
      </c>
      <c r="F78" s="11" t="s">
        <v>964</v>
      </c>
      <c r="G78" s="32">
        <f>+SUMIFS('2025 Lighting BDs'!C:C,'2025 Lighting BDs'!B:B,'E-13d'!A78)</f>
        <v>0</v>
      </c>
      <c r="H78" s="32">
        <v>22</v>
      </c>
      <c r="I78" s="150">
        <f t="shared" si="16"/>
        <v>0</v>
      </c>
      <c r="J78" s="8"/>
      <c r="K78" s="39">
        <f>+SUMIFS('2026 Lighting Rates'!B:B,'2026 Lighting Rates'!A:A,A78)</f>
        <v>13.08</v>
      </c>
      <c r="L78" s="39">
        <f>+SUMIFS('2026 Lighting Rates'!C:C,'2026 Lighting Rates'!A:A,A78)</f>
        <v>1.89</v>
      </c>
      <c r="M78" s="47">
        <f t="shared" si="17"/>
        <v>14.97</v>
      </c>
      <c r="N78" s="31">
        <f t="shared" si="18"/>
        <v>0</v>
      </c>
      <c r="O78" s="8"/>
      <c r="P78" s="47">
        <f t="shared" si="19"/>
        <v>13.08</v>
      </c>
      <c r="Q78" s="47">
        <f t="shared" si="20"/>
        <v>1.89</v>
      </c>
      <c r="R78" s="47">
        <f t="shared" si="21"/>
        <v>14.97</v>
      </c>
      <c r="S78" s="31">
        <f t="shared" si="22"/>
        <v>0</v>
      </c>
      <c r="T78" s="183">
        <f t="shared" si="23"/>
        <v>0</v>
      </c>
    </row>
    <row r="79" spans="1:20" ht="17.100000000000001" customHeight="1" x14ac:dyDescent="0.25">
      <c r="A79" s="148">
        <v>533</v>
      </c>
      <c r="B79" s="148"/>
      <c r="D79" s="57">
        <v>16</v>
      </c>
      <c r="E79" s="8" t="s">
        <v>1021</v>
      </c>
      <c r="F79" s="11" t="s">
        <v>964</v>
      </c>
      <c r="G79" s="32">
        <f>+SUMIFS('2025 Lighting BDs'!C:C,'2025 Lighting BDs'!B:B,'E-13d'!A79)</f>
        <v>0</v>
      </c>
      <c r="H79" s="32">
        <v>22</v>
      </c>
      <c r="I79" s="150">
        <f t="shared" si="16"/>
        <v>0</v>
      </c>
      <c r="J79" s="32"/>
      <c r="K79" s="39">
        <f>+SUMIFS('2026 Lighting Rates'!B:B,'2026 Lighting Rates'!A:A,A79)</f>
        <v>12.99</v>
      </c>
      <c r="L79" s="39">
        <f>+SUMIFS('2026 Lighting Rates'!C:C,'2026 Lighting Rates'!A:A,A79)</f>
        <v>1.89</v>
      </c>
      <c r="M79" s="47">
        <f>+K79+L79</f>
        <v>14.88</v>
      </c>
      <c r="N79" s="31">
        <f t="shared" si="18"/>
        <v>0</v>
      </c>
      <c r="O79" s="32"/>
      <c r="P79" s="47">
        <f t="shared" si="19"/>
        <v>12.99</v>
      </c>
      <c r="Q79" s="47">
        <f t="shared" si="20"/>
        <v>1.89</v>
      </c>
      <c r="R79" s="47">
        <f t="shared" si="21"/>
        <v>14.88</v>
      </c>
      <c r="S79" s="31">
        <f t="shared" si="22"/>
        <v>0</v>
      </c>
      <c r="T79" s="183">
        <f t="shared" si="23"/>
        <v>0</v>
      </c>
    </row>
    <row r="80" spans="1:20" ht="17.100000000000001" customHeight="1" x14ac:dyDescent="0.25">
      <c r="A80" s="148">
        <v>534</v>
      </c>
      <c r="B80" s="148"/>
      <c r="D80" s="57">
        <v>17</v>
      </c>
      <c r="E80" s="8" t="s">
        <v>1022</v>
      </c>
      <c r="F80" s="11" t="s">
        <v>964</v>
      </c>
      <c r="G80" s="32">
        <f>+SUMIFS('2025 Lighting BDs'!C:C,'2025 Lighting BDs'!B:B,'E-13d'!A80)</f>
        <v>0</v>
      </c>
      <c r="H80" s="32">
        <v>22</v>
      </c>
      <c r="I80" s="150">
        <f t="shared" si="16"/>
        <v>0</v>
      </c>
      <c r="J80" s="32"/>
      <c r="K80" s="39">
        <f>+SUMIFS('2026 Lighting Rates'!B:B,'2026 Lighting Rates'!A:A,A80)</f>
        <v>11.53</v>
      </c>
      <c r="L80" s="39">
        <f>+SUMIFS('2026 Lighting Rates'!C:C,'2026 Lighting Rates'!A:A,A80)</f>
        <v>1.89</v>
      </c>
      <c r="M80" s="47">
        <f>+K80+L80</f>
        <v>13.42</v>
      </c>
      <c r="N80" s="31">
        <f t="shared" si="18"/>
        <v>0</v>
      </c>
      <c r="O80" s="32"/>
      <c r="P80" s="47">
        <f t="shared" si="19"/>
        <v>11.53</v>
      </c>
      <c r="Q80" s="47">
        <f t="shared" si="20"/>
        <v>1.89</v>
      </c>
      <c r="R80" s="47">
        <f t="shared" si="21"/>
        <v>13.42</v>
      </c>
      <c r="S80" s="31">
        <f t="shared" si="22"/>
        <v>0</v>
      </c>
      <c r="T80" s="183">
        <f t="shared" si="23"/>
        <v>0</v>
      </c>
    </row>
    <row r="81" spans="1:20" ht="17.100000000000001" customHeight="1" x14ac:dyDescent="0.25">
      <c r="A81" s="148">
        <v>536</v>
      </c>
      <c r="B81" s="148"/>
      <c r="D81" s="57">
        <v>18</v>
      </c>
      <c r="E81" s="8" t="s">
        <v>1023</v>
      </c>
      <c r="F81" s="11" t="s">
        <v>968</v>
      </c>
      <c r="G81" s="32">
        <f>+SUMIFS('2025 Lighting BDs'!C:C,'2025 Lighting BDs'!B:B,'E-13d'!A81)</f>
        <v>0</v>
      </c>
      <c r="H81" s="32">
        <v>52</v>
      </c>
      <c r="I81" s="150">
        <f t="shared" si="16"/>
        <v>0</v>
      </c>
      <c r="J81" s="32"/>
      <c r="K81" s="39">
        <f>+SUMIFS('2026 Lighting Rates'!B:B,'2026 Lighting Rates'!A:A,A81)</f>
        <v>12.5</v>
      </c>
      <c r="L81" s="39">
        <f>+SUMIFS('2026 Lighting Rates'!C:C,'2026 Lighting Rates'!A:A,A81)</f>
        <v>3.18</v>
      </c>
      <c r="M81" s="47">
        <f>+K81+L81</f>
        <v>15.68</v>
      </c>
      <c r="N81" s="31">
        <f t="shared" si="18"/>
        <v>0</v>
      </c>
      <c r="O81" s="32"/>
      <c r="P81" s="47">
        <f t="shared" si="19"/>
        <v>12.5</v>
      </c>
      <c r="Q81" s="47">
        <f t="shared" si="20"/>
        <v>3.18</v>
      </c>
      <c r="R81" s="47">
        <f t="shared" si="21"/>
        <v>15.68</v>
      </c>
      <c r="S81" s="31">
        <f t="shared" si="22"/>
        <v>0</v>
      </c>
      <c r="T81" s="183">
        <f t="shared" si="23"/>
        <v>0</v>
      </c>
    </row>
    <row r="82" spans="1:20" ht="17.100000000000001" customHeight="1" x14ac:dyDescent="0.25">
      <c r="A82" s="148">
        <v>538</v>
      </c>
      <c r="B82" s="148"/>
      <c r="D82" s="57">
        <v>19</v>
      </c>
      <c r="E82" s="8" t="s">
        <v>1024</v>
      </c>
      <c r="F82" s="11" t="s">
        <v>970</v>
      </c>
      <c r="G82" s="32">
        <f>+SUMIFS('2025 Lighting BDs'!C:C,'2025 Lighting BDs'!B:B,'E-13d'!A82)</f>
        <v>0</v>
      </c>
      <c r="H82" s="32">
        <v>81</v>
      </c>
      <c r="I82" s="150">
        <f t="shared" si="16"/>
        <v>0</v>
      </c>
      <c r="J82" s="32"/>
      <c r="K82" s="39">
        <f>+SUMIFS('2026 Lighting Rates'!B:B,'2026 Lighting Rates'!A:A,A82)</f>
        <v>10.6</v>
      </c>
      <c r="L82" s="39">
        <f>+SUMIFS('2026 Lighting Rates'!C:C,'2026 Lighting Rates'!A:A,A82)</f>
        <v>2.44</v>
      </c>
      <c r="M82" s="47">
        <f>+K82+L82</f>
        <v>13.04</v>
      </c>
      <c r="N82" s="31">
        <f t="shared" si="18"/>
        <v>0</v>
      </c>
      <c r="O82" s="32"/>
      <c r="P82" s="47">
        <f t="shared" si="19"/>
        <v>10.6</v>
      </c>
      <c r="Q82" s="47">
        <f t="shared" si="20"/>
        <v>2.44</v>
      </c>
      <c r="R82" s="47">
        <f t="shared" si="21"/>
        <v>13.04</v>
      </c>
      <c r="S82" s="31">
        <f t="shared" si="22"/>
        <v>0</v>
      </c>
      <c r="T82" s="183">
        <f t="shared" si="23"/>
        <v>0</v>
      </c>
    </row>
    <row r="83" spans="1:20" ht="17.100000000000001" customHeight="1" x14ac:dyDescent="0.25">
      <c r="A83" s="148"/>
      <c r="B83" s="148"/>
      <c r="D83" s="57">
        <v>20</v>
      </c>
      <c r="E83" s="10" t="s">
        <v>982</v>
      </c>
      <c r="N83" s="31">
        <f>SUM(N66:N82)</f>
        <v>0</v>
      </c>
      <c r="O83" s="32"/>
      <c r="S83" s="31">
        <f>SUM(S66:S82)</f>
        <v>0</v>
      </c>
      <c r="T83" s="183">
        <f t="shared" si="23"/>
        <v>0</v>
      </c>
    </row>
    <row r="84" spans="1:20" ht="17.100000000000001" customHeight="1" x14ac:dyDescent="0.25">
      <c r="A84" s="148"/>
      <c r="B84" s="148"/>
      <c r="D84" s="57">
        <v>21</v>
      </c>
      <c r="E84" s="8"/>
      <c r="F84" s="8"/>
      <c r="G84" s="32"/>
      <c r="H84" s="32"/>
      <c r="I84" s="33"/>
      <c r="J84" s="33"/>
      <c r="K84" s="70"/>
      <c r="L84" s="70"/>
      <c r="M84" s="39"/>
      <c r="N84" s="52"/>
      <c r="O84" s="32"/>
      <c r="P84" s="39"/>
      <c r="Q84" s="39"/>
      <c r="R84" s="39"/>
      <c r="S84" s="52"/>
      <c r="T84" s="227"/>
    </row>
    <row r="85" spans="1:20" ht="17.100000000000001" customHeight="1" x14ac:dyDescent="0.25">
      <c r="A85" s="148"/>
      <c r="B85" s="148"/>
      <c r="D85" s="57">
        <v>22</v>
      </c>
      <c r="E85" s="385" t="s">
        <v>1025</v>
      </c>
      <c r="F85" s="385"/>
      <c r="G85" s="32"/>
      <c r="H85" s="32"/>
      <c r="I85" s="33"/>
      <c r="J85" s="33"/>
      <c r="K85" s="70"/>
      <c r="L85" s="70"/>
      <c r="M85" s="39"/>
      <c r="N85" s="52"/>
      <c r="O85" s="151"/>
      <c r="P85" s="152"/>
      <c r="Q85" s="39"/>
      <c r="R85" s="39"/>
      <c r="S85" s="52"/>
      <c r="T85" s="227"/>
    </row>
    <row r="86" spans="1:20" ht="17.100000000000001" customHeight="1" x14ac:dyDescent="0.25">
      <c r="A86" s="148">
        <v>724</v>
      </c>
      <c r="B86" s="148"/>
      <c r="D86" s="57">
        <v>23</v>
      </c>
      <c r="E86" s="199" t="s">
        <v>1026</v>
      </c>
      <c r="F86" s="11" t="s">
        <v>985</v>
      </c>
      <c r="G86" s="32">
        <f>+SUMIFS('2025 Lighting BDs'!C:C,'2025 Lighting BDs'!B:B,'E-13d'!A86)</f>
        <v>0</v>
      </c>
      <c r="H86" s="32">
        <v>69</v>
      </c>
      <c r="I86" s="150">
        <f t="shared" ref="I86:I99" si="24">+H86*G86</f>
        <v>0</v>
      </c>
      <c r="J86" s="33"/>
      <c r="K86" s="39">
        <f>+SUMIFS('2026 Lighting Rates'!B:B,'2026 Lighting Rates'!A:A,A86)</f>
        <v>10.83</v>
      </c>
      <c r="L86" s="39">
        <f>+SUMIFS('2026 Lighting Rates'!C:C,'2026 Lighting Rates'!A:A,A86)</f>
        <v>4.99</v>
      </c>
      <c r="M86" s="47">
        <f t="shared" ref="M86:M99" si="25">+K86+L86</f>
        <v>15.82</v>
      </c>
      <c r="N86" s="31">
        <f t="shared" ref="N86:N99" si="26">+M86*G86</f>
        <v>0</v>
      </c>
      <c r="O86" s="32"/>
      <c r="P86" s="47">
        <f t="shared" ref="P86:P99" si="27">+K86</f>
        <v>10.83</v>
      </c>
      <c r="Q86" s="47">
        <f t="shared" ref="Q86:Q99" si="28">+L86</f>
        <v>4.99</v>
      </c>
      <c r="R86" s="47">
        <f t="shared" ref="R86:R99" si="29">+P86+Q86</f>
        <v>15.82</v>
      </c>
      <c r="S86" s="39">
        <f t="shared" ref="S86:S99" si="30">+R86*G86</f>
        <v>0</v>
      </c>
      <c r="T86" s="183">
        <f t="shared" ref="T86:T100" si="31">IF(S86=0,0,(S86-N86)/N86)</f>
        <v>0</v>
      </c>
    </row>
    <row r="87" spans="1:20" ht="17.100000000000001" customHeight="1" x14ac:dyDescent="0.25">
      <c r="A87" s="148">
        <v>522</v>
      </c>
      <c r="B87" s="148"/>
      <c r="D87" s="57">
        <v>24</v>
      </c>
      <c r="E87" s="199" t="s">
        <v>1027</v>
      </c>
      <c r="F87" s="11" t="s">
        <v>970</v>
      </c>
      <c r="G87" s="32">
        <f>+SUMIFS('2025 Lighting BDs'!C:C,'2025 Lighting BDs'!B:B,'E-13d'!A87)</f>
        <v>0</v>
      </c>
      <c r="H87" s="32">
        <v>79</v>
      </c>
      <c r="I87" s="150">
        <f t="shared" si="24"/>
        <v>0</v>
      </c>
      <c r="J87" s="33"/>
      <c r="K87" s="39">
        <f>+SUMIFS('2026 Lighting Rates'!B:B,'2026 Lighting Rates'!A:A,A87)</f>
        <v>8.67</v>
      </c>
      <c r="L87" s="39">
        <f>+SUMIFS('2026 Lighting Rates'!C:C,'2026 Lighting Rates'!A:A,A87)</f>
        <v>4.01</v>
      </c>
      <c r="M87" s="47">
        <f t="shared" si="25"/>
        <v>12.68</v>
      </c>
      <c r="N87" s="31">
        <f t="shared" si="26"/>
        <v>0</v>
      </c>
      <c r="O87" s="32"/>
      <c r="P87" s="47">
        <f t="shared" si="27"/>
        <v>8.67</v>
      </c>
      <c r="Q87" s="47">
        <f t="shared" si="28"/>
        <v>4.01</v>
      </c>
      <c r="R87" s="47">
        <f t="shared" si="29"/>
        <v>12.68</v>
      </c>
      <c r="S87" s="39">
        <f t="shared" si="30"/>
        <v>0</v>
      </c>
      <c r="T87" s="183">
        <f t="shared" si="31"/>
        <v>0</v>
      </c>
    </row>
    <row r="88" spans="1:20" ht="17.100000000000001" customHeight="1" x14ac:dyDescent="0.25">
      <c r="A88" s="148">
        <v>725</v>
      </c>
      <c r="B88" s="148"/>
      <c r="D88" s="57">
        <v>25</v>
      </c>
      <c r="E88" s="199" t="s">
        <v>1028</v>
      </c>
      <c r="F88" s="11" t="s">
        <v>985</v>
      </c>
      <c r="G88" s="32">
        <f>+SUMIFS('2025 Lighting BDs'!C:C,'2025 Lighting BDs'!B:B,'E-13d'!A88)</f>
        <v>0</v>
      </c>
      <c r="H88" s="32">
        <v>69</v>
      </c>
      <c r="I88" s="150">
        <f t="shared" si="24"/>
        <v>0</v>
      </c>
      <c r="J88" s="33"/>
      <c r="K88" s="39">
        <f>+SUMIFS('2026 Lighting Rates'!B:B,'2026 Lighting Rates'!A:A,A88)</f>
        <v>12.3</v>
      </c>
      <c r="L88" s="39">
        <f>+SUMIFS('2026 Lighting Rates'!C:C,'2026 Lighting Rates'!A:A,A88)</f>
        <v>5.04</v>
      </c>
      <c r="M88" s="47">
        <f t="shared" si="25"/>
        <v>17.34</v>
      </c>
      <c r="N88" s="31">
        <f t="shared" si="26"/>
        <v>0</v>
      </c>
      <c r="O88" s="32"/>
      <c r="P88" s="47">
        <f t="shared" si="27"/>
        <v>12.3</v>
      </c>
      <c r="Q88" s="47">
        <f t="shared" si="28"/>
        <v>5.04</v>
      </c>
      <c r="R88" s="47">
        <f t="shared" si="29"/>
        <v>17.34</v>
      </c>
      <c r="S88" s="39">
        <f t="shared" si="30"/>
        <v>0</v>
      </c>
      <c r="T88" s="183">
        <f t="shared" si="31"/>
        <v>0</v>
      </c>
    </row>
    <row r="89" spans="1:20" ht="17.100000000000001" customHeight="1" x14ac:dyDescent="0.25">
      <c r="A89" s="148">
        <v>541</v>
      </c>
      <c r="B89" s="148"/>
      <c r="D89" s="57">
        <v>26</v>
      </c>
      <c r="E89" s="199" t="s">
        <v>1029</v>
      </c>
      <c r="F89" s="11" t="s">
        <v>970</v>
      </c>
      <c r="G89" s="32">
        <f>+SUMIFS('2025 Lighting BDs'!C:C,'2025 Lighting BDs'!B:B,'E-13d'!A89)</f>
        <v>0</v>
      </c>
      <c r="H89" s="32">
        <v>79</v>
      </c>
      <c r="I89" s="150">
        <f t="shared" si="24"/>
        <v>0</v>
      </c>
      <c r="J89" s="8"/>
      <c r="K89" s="39">
        <f>+SUMIFS('2026 Lighting Rates'!B:B,'2026 Lighting Rates'!A:A,A89)</f>
        <v>12.04</v>
      </c>
      <c r="L89" s="39">
        <f>+SUMIFS('2026 Lighting Rates'!C:C,'2026 Lighting Rates'!A:A,A89)</f>
        <v>4.0199999999999996</v>
      </c>
      <c r="M89" s="47">
        <f t="shared" si="25"/>
        <v>16.059999999999999</v>
      </c>
      <c r="N89" s="31">
        <f t="shared" si="26"/>
        <v>0</v>
      </c>
      <c r="O89" s="8"/>
      <c r="P89" s="47">
        <f t="shared" si="27"/>
        <v>12.04</v>
      </c>
      <c r="Q89" s="47">
        <f t="shared" si="28"/>
        <v>4.0199999999999996</v>
      </c>
      <c r="R89" s="47">
        <f t="shared" si="29"/>
        <v>16.059999999999999</v>
      </c>
      <c r="S89" s="39">
        <f t="shared" si="30"/>
        <v>0</v>
      </c>
      <c r="T89" s="183">
        <f t="shared" si="31"/>
        <v>0</v>
      </c>
    </row>
    <row r="90" spans="1:20" ht="17.100000000000001" customHeight="1" x14ac:dyDescent="0.25">
      <c r="A90" s="148">
        <v>578</v>
      </c>
      <c r="B90" s="148"/>
      <c r="D90" s="57">
        <v>27</v>
      </c>
      <c r="E90" s="199" t="s">
        <v>1030</v>
      </c>
      <c r="F90" s="11" t="s">
        <v>990</v>
      </c>
      <c r="G90" s="32">
        <f>+SUMIFS('2025 Lighting BDs'!C:C,'2025 Lighting BDs'!B:B,'E-13d'!A90)</f>
        <v>0</v>
      </c>
      <c r="H90" s="32">
        <v>191</v>
      </c>
      <c r="I90" s="32">
        <f t="shared" si="24"/>
        <v>0</v>
      </c>
      <c r="J90" s="32"/>
      <c r="K90" s="39">
        <f>+SUMIFS('2026 Lighting Rates'!B:B,'2026 Lighting Rates'!A:A,A90)</f>
        <v>15.11</v>
      </c>
      <c r="L90" s="39">
        <f>+SUMIFS('2026 Lighting Rates'!C:C,'2026 Lighting Rates'!A:A,A90)</f>
        <v>8.17</v>
      </c>
      <c r="M90" s="47">
        <f t="shared" si="25"/>
        <v>23.28</v>
      </c>
      <c r="N90" s="31">
        <f t="shared" si="26"/>
        <v>0</v>
      </c>
      <c r="O90" s="32"/>
      <c r="P90" s="47">
        <f t="shared" si="27"/>
        <v>15.11</v>
      </c>
      <c r="Q90" s="47">
        <f t="shared" si="28"/>
        <v>8.17</v>
      </c>
      <c r="R90" s="47">
        <f t="shared" si="29"/>
        <v>23.28</v>
      </c>
      <c r="S90" s="161">
        <f t="shared" si="30"/>
        <v>0</v>
      </c>
      <c r="T90" s="183">
        <f t="shared" si="31"/>
        <v>0</v>
      </c>
    </row>
    <row r="91" spans="1:20" ht="17.100000000000001" customHeight="1" x14ac:dyDescent="0.25">
      <c r="A91" s="148">
        <v>721</v>
      </c>
      <c r="B91" s="148"/>
      <c r="D91" s="57">
        <v>28</v>
      </c>
      <c r="E91" s="199" t="s">
        <v>1031</v>
      </c>
      <c r="F91" s="11" t="s">
        <v>966</v>
      </c>
      <c r="G91" s="32">
        <f>+SUMIFS('2025 Lighting BDs'!C:C,'2025 Lighting BDs'!B:B,'E-13d'!A91)</f>
        <v>0</v>
      </c>
      <c r="H91" s="32">
        <v>34</v>
      </c>
      <c r="I91" s="150">
        <f t="shared" si="24"/>
        <v>0</v>
      </c>
      <c r="J91" s="32"/>
      <c r="K91" s="39">
        <f>+SUMIFS('2026 Lighting Rates'!B:B,'2026 Lighting Rates'!A:A,A91)</f>
        <v>15.25</v>
      </c>
      <c r="L91" s="39">
        <f>+SUMIFS('2026 Lighting Rates'!C:C,'2026 Lighting Rates'!A:A,A91)</f>
        <v>3.92</v>
      </c>
      <c r="M91" s="47">
        <f t="shared" si="25"/>
        <v>19.170000000000002</v>
      </c>
      <c r="N91" s="31">
        <f t="shared" si="26"/>
        <v>0</v>
      </c>
      <c r="O91" s="32"/>
      <c r="P91" s="47">
        <f t="shared" si="27"/>
        <v>15.25</v>
      </c>
      <c r="Q91" s="47">
        <f t="shared" si="28"/>
        <v>3.92</v>
      </c>
      <c r="R91" s="47">
        <f t="shared" si="29"/>
        <v>19.170000000000002</v>
      </c>
      <c r="S91" s="161">
        <f t="shared" si="30"/>
        <v>0</v>
      </c>
      <c r="T91" s="183">
        <f t="shared" si="31"/>
        <v>0</v>
      </c>
    </row>
    <row r="92" spans="1:20" ht="17.100000000000001" customHeight="1" x14ac:dyDescent="0.25">
      <c r="A92" s="148">
        <v>548</v>
      </c>
      <c r="B92" s="148"/>
      <c r="D92" s="57">
        <v>29</v>
      </c>
      <c r="E92" s="199" t="s">
        <v>1032</v>
      </c>
      <c r="F92" s="11" t="s">
        <v>993</v>
      </c>
      <c r="G92" s="32">
        <f>+SUMIFS('2025 Lighting BDs'!C:C,'2025 Lighting BDs'!B:B,'E-13d'!A92)</f>
        <v>0</v>
      </c>
      <c r="H92" s="32">
        <v>37</v>
      </c>
      <c r="I92" s="32">
        <f t="shared" si="24"/>
        <v>0</v>
      </c>
      <c r="J92" s="32"/>
      <c r="K92" s="39">
        <f>+SUMIFS('2026 Lighting Rates'!B:B,'2026 Lighting Rates'!A:A,A92)</f>
        <v>15.68</v>
      </c>
      <c r="L92" s="39">
        <f>+SUMIFS('2026 Lighting Rates'!C:C,'2026 Lighting Rates'!A:A,A92)</f>
        <v>3.73</v>
      </c>
      <c r="M92" s="39">
        <f t="shared" si="25"/>
        <v>19.41</v>
      </c>
      <c r="N92" s="31">
        <f t="shared" si="26"/>
        <v>0</v>
      </c>
      <c r="O92" s="32"/>
      <c r="P92" s="47">
        <f t="shared" si="27"/>
        <v>15.68</v>
      </c>
      <c r="Q92" s="47">
        <f t="shared" si="28"/>
        <v>3.73</v>
      </c>
      <c r="R92" s="47">
        <f t="shared" si="29"/>
        <v>19.41</v>
      </c>
      <c r="S92" s="161">
        <f t="shared" si="30"/>
        <v>0</v>
      </c>
      <c r="T92" s="183">
        <f t="shared" si="31"/>
        <v>0</v>
      </c>
    </row>
    <row r="93" spans="1:20" ht="17.100000000000001" customHeight="1" x14ac:dyDescent="0.25">
      <c r="A93" s="148">
        <v>720</v>
      </c>
      <c r="B93" s="148"/>
      <c r="D93" s="57">
        <v>30</v>
      </c>
      <c r="E93" s="199" t="s">
        <v>1033</v>
      </c>
      <c r="F93" s="11" t="s">
        <v>966</v>
      </c>
      <c r="G93" s="32">
        <f>+SUMIFS('2025 Lighting BDs'!C:C,'2025 Lighting BDs'!B:B,'E-13d'!A93)</f>
        <v>0</v>
      </c>
      <c r="H93" s="32">
        <v>34</v>
      </c>
      <c r="I93" s="150">
        <f t="shared" si="24"/>
        <v>0</v>
      </c>
      <c r="J93" s="32"/>
      <c r="K93" s="39">
        <f>+SUMIFS('2026 Lighting Rates'!B:B,'2026 Lighting Rates'!A:A,A93)</f>
        <v>13.42</v>
      </c>
      <c r="L93" s="39">
        <f>+SUMIFS('2026 Lighting Rates'!C:C,'2026 Lighting Rates'!A:A,A93)</f>
        <v>3.92</v>
      </c>
      <c r="M93" s="47">
        <f t="shared" si="25"/>
        <v>17.34</v>
      </c>
      <c r="N93" s="31">
        <f t="shared" si="26"/>
        <v>0</v>
      </c>
      <c r="O93" s="32"/>
      <c r="P93" s="47">
        <f t="shared" si="27"/>
        <v>13.42</v>
      </c>
      <c r="Q93" s="47">
        <f t="shared" si="28"/>
        <v>3.92</v>
      </c>
      <c r="R93" s="47">
        <f t="shared" si="29"/>
        <v>17.34</v>
      </c>
      <c r="S93" s="39">
        <f t="shared" si="30"/>
        <v>0</v>
      </c>
      <c r="T93" s="183">
        <f t="shared" si="31"/>
        <v>0</v>
      </c>
    </row>
    <row r="94" spans="1:20" ht="17.100000000000001" customHeight="1" x14ac:dyDescent="0.25">
      <c r="A94" s="148">
        <v>568</v>
      </c>
      <c r="B94" s="148"/>
      <c r="D94" s="57">
        <v>31</v>
      </c>
      <c r="E94" s="199" t="s">
        <v>1034</v>
      </c>
      <c r="F94" s="11" t="s">
        <v>993</v>
      </c>
      <c r="G94" s="32">
        <f>+SUMIFS('2025 Lighting BDs'!C:C,'2025 Lighting BDs'!B:B,'E-13d'!A94)</f>
        <v>0</v>
      </c>
      <c r="H94" s="32">
        <v>37</v>
      </c>
      <c r="I94" s="150">
        <f t="shared" si="24"/>
        <v>0</v>
      </c>
      <c r="J94" s="32"/>
      <c r="K94" s="39">
        <f>+SUMIFS('2026 Lighting Rates'!B:B,'2026 Lighting Rates'!A:A,A94)</f>
        <v>13.49</v>
      </c>
      <c r="L94" s="39">
        <f>+SUMIFS('2026 Lighting Rates'!C:C,'2026 Lighting Rates'!A:A,A94)</f>
        <v>3.74</v>
      </c>
      <c r="M94" s="47">
        <f t="shared" si="25"/>
        <v>17.23</v>
      </c>
      <c r="N94" s="31">
        <f t="shared" si="26"/>
        <v>0</v>
      </c>
      <c r="O94" s="32"/>
      <c r="P94" s="47">
        <f t="shared" si="27"/>
        <v>13.49</v>
      </c>
      <c r="Q94" s="47">
        <f t="shared" si="28"/>
        <v>3.74</v>
      </c>
      <c r="R94" s="47">
        <f t="shared" si="29"/>
        <v>17.23</v>
      </c>
      <c r="S94" s="39">
        <f t="shared" si="30"/>
        <v>0</v>
      </c>
      <c r="T94" s="183">
        <f t="shared" si="31"/>
        <v>0</v>
      </c>
    </row>
    <row r="95" spans="1:20" ht="17.100000000000001" customHeight="1" x14ac:dyDescent="0.25">
      <c r="A95" s="148">
        <v>722</v>
      </c>
      <c r="B95" s="148"/>
      <c r="D95" s="57">
        <v>32</v>
      </c>
      <c r="E95" s="230" t="s">
        <v>1035</v>
      </c>
      <c r="F95" s="11" t="s">
        <v>966</v>
      </c>
      <c r="G95" s="32">
        <f>+SUMIFS('2025 Lighting BDs'!C:C,'2025 Lighting BDs'!B:B,'E-13d'!A95)</f>
        <v>0</v>
      </c>
      <c r="H95" s="32">
        <v>34</v>
      </c>
      <c r="I95" s="150">
        <f t="shared" si="24"/>
        <v>0</v>
      </c>
      <c r="J95" s="32"/>
      <c r="K95" s="39">
        <f>+SUMIFS('2026 Lighting Rates'!B:B,'2026 Lighting Rates'!A:A,A95)</f>
        <v>10.38</v>
      </c>
      <c r="L95" s="39">
        <f>+SUMIFS('2026 Lighting Rates'!C:C,'2026 Lighting Rates'!A:A,A95)</f>
        <v>3.92</v>
      </c>
      <c r="M95" s="47">
        <f t="shared" si="25"/>
        <v>14.3</v>
      </c>
      <c r="N95" s="31">
        <f t="shared" si="26"/>
        <v>0</v>
      </c>
      <c r="O95" s="32"/>
      <c r="P95" s="47">
        <f t="shared" si="27"/>
        <v>10.38</v>
      </c>
      <c r="Q95" s="47">
        <f t="shared" si="28"/>
        <v>3.92</v>
      </c>
      <c r="R95" s="47">
        <f t="shared" si="29"/>
        <v>14.3</v>
      </c>
      <c r="S95" s="39">
        <f t="shared" si="30"/>
        <v>0</v>
      </c>
      <c r="T95" s="183">
        <f t="shared" si="31"/>
        <v>0</v>
      </c>
    </row>
    <row r="96" spans="1:20" ht="17.100000000000001" customHeight="1" x14ac:dyDescent="0.25">
      <c r="A96" s="148">
        <v>549</v>
      </c>
      <c r="B96" s="148"/>
      <c r="D96" s="57">
        <v>33</v>
      </c>
      <c r="E96" s="199" t="s">
        <v>1036</v>
      </c>
      <c r="F96" s="11" t="s">
        <v>993</v>
      </c>
      <c r="G96" s="32">
        <f>+SUMIFS('2025 Lighting BDs'!C:C,'2025 Lighting BDs'!B:B,'E-13d'!A96)</f>
        <v>0</v>
      </c>
      <c r="H96" s="32">
        <v>37</v>
      </c>
      <c r="I96" s="150">
        <f t="shared" si="24"/>
        <v>0</v>
      </c>
      <c r="J96" s="32"/>
      <c r="K96" s="39">
        <f>+SUMIFS('2026 Lighting Rates'!B:B,'2026 Lighting Rates'!A:A,A96)</f>
        <v>11.44</v>
      </c>
      <c r="L96" s="39">
        <f>+SUMIFS('2026 Lighting Rates'!C:C,'2026 Lighting Rates'!A:A,A96)</f>
        <v>3.7</v>
      </c>
      <c r="M96" s="47">
        <f t="shared" si="25"/>
        <v>15.14</v>
      </c>
      <c r="N96" s="31">
        <f t="shared" si="26"/>
        <v>0</v>
      </c>
      <c r="O96" s="32"/>
      <c r="P96" s="47">
        <f t="shared" si="27"/>
        <v>11.44</v>
      </c>
      <c r="Q96" s="47">
        <f t="shared" si="28"/>
        <v>3.7</v>
      </c>
      <c r="R96" s="47">
        <f t="shared" si="29"/>
        <v>15.14</v>
      </c>
      <c r="S96" s="39">
        <f t="shared" si="30"/>
        <v>0</v>
      </c>
      <c r="T96" s="183">
        <f t="shared" si="31"/>
        <v>0</v>
      </c>
    </row>
    <row r="97" spans="1:20" ht="17.100000000000001" customHeight="1" x14ac:dyDescent="0.25">
      <c r="A97" s="148">
        <v>723</v>
      </c>
      <c r="B97" s="148"/>
      <c r="D97" s="57">
        <v>34</v>
      </c>
      <c r="E97" s="199" t="s">
        <v>1037</v>
      </c>
      <c r="F97" s="11" t="s">
        <v>985</v>
      </c>
      <c r="G97" s="32">
        <f>+SUMIFS('2025 Lighting BDs'!C:C,'2025 Lighting BDs'!B:B,'E-13d'!A97)</f>
        <v>0</v>
      </c>
      <c r="H97" s="32">
        <v>69</v>
      </c>
      <c r="I97" s="150">
        <f t="shared" si="24"/>
        <v>0</v>
      </c>
      <c r="J97" s="32"/>
      <c r="K97" s="39">
        <f>+SUMIFS('2026 Lighting Rates'!B:B,'2026 Lighting Rates'!A:A,A97)</f>
        <v>13.74</v>
      </c>
      <c r="L97" s="39">
        <f>+SUMIFS('2026 Lighting Rates'!C:C,'2026 Lighting Rates'!A:A,A97)</f>
        <v>4.93</v>
      </c>
      <c r="M97" s="47">
        <f t="shared" si="25"/>
        <v>18.670000000000002</v>
      </c>
      <c r="N97" s="31">
        <f t="shared" si="26"/>
        <v>0</v>
      </c>
      <c r="O97" s="32"/>
      <c r="P97" s="47">
        <f t="shared" si="27"/>
        <v>13.74</v>
      </c>
      <c r="Q97" s="47">
        <f t="shared" si="28"/>
        <v>4.93</v>
      </c>
      <c r="R97" s="47">
        <f t="shared" si="29"/>
        <v>18.670000000000002</v>
      </c>
      <c r="S97" s="39">
        <f t="shared" si="30"/>
        <v>0</v>
      </c>
      <c r="T97" s="183">
        <f t="shared" si="31"/>
        <v>0</v>
      </c>
    </row>
    <row r="98" spans="1:20" ht="17.100000000000001" customHeight="1" x14ac:dyDescent="0.25">
      <c r="A98" s="148">
        <v>540</v>
      </c>
      <c r="B98" s="148"/>
      <c r="D98" s="57">
        <v>35</v>
      </c>
      <c r="E98" s="199" t="s">
        <v>1038</v>
      </c>
      <c r="F98" s="11" t="s">
        <v>970</v>
      </c>
      <c r="G98" s="32">
        <f>+SUMIFS('2025 Lighting BDs'!C:C,'2025 Lighting BDs'!B:B,'E-13d'!A98)</f>
        <v>0</v>
      </c>
      <c r="H98" s="32">
        <v>79</v>
      </c>
      <c r="I98" s="150">
        <f t="shared" si="24"/>
        <v>0</v>
      </c>
      <c r="J98" s="32"/>
      <c r="K98" s="39">
        <f>+SUMIFS('2026 Lighting Rates'!B:B,'2026 Lighting Rates'!A:A,A98)</f>
        <v>14.41</v>
      </c>
      <c r="L98" s="39">
        <f>+SUMIFS('2026 Lighting Rates'!C:C,'2026 Lighting Rates'!A:A,A98)</f>
        <v>3.97</v>
      </c>
      <c r="M98" s="47">
        <f t="shared" si="25"/>
        <v>18.38</v>
      </c>
      <c r="N98" s="31">
        <f t="shared" si="26"/>
        <v>0</v>
      </c>
      <c r="O98" s="32"/>
      <c r="P98" s="47">
        <f t="shared" si="27"/>
        <v>14.41</v>
      </c>
      <c r="Q98" s="47">
        <f t="shared" si="28"/>
        <v>3.97</v>
      </c>
      <c r="R98" s="47">
        <f t="shared" si="29"/>
        <v>18.38</v>
      </c>
      <c r="S98" s="39">
        <f t="shared" si="30"/>
        <v>0</v>
      </c>
      <c r="T98" s="183">
        <f t="shared" si="31"/>
        <v>0</v>
      </c>
    </row>
    <row r="99" spans="1:20" ht="17.100000000000001" customHeight="1" x14ac:dyDescent="0.25">
      <c r="A99" s="148">
        <v>577</v>
      </c>
      <c r="B99" s="148"/>
      <c r="D99" s="57">
        <v>36</v>
      </c>
      <c r="E99" s="199" t="s">
        <v>1039</v>
      </c>
      <c r="F99" s="11" t="s">
        <v>990</v>
      </c>
      <c r="G99" s="32">
        <f>+SUMIFS('2025 Lighting BDs'!C:C,'2025 Lighting BDs'!B:B,'E-13d'!A99)</f>
        <v>0</v>
      </c>
      <c r="H99" s="32">
        <v>191</v>
      </c>
      <c r="I99" s="150">
        <f t="shared" si="24"/>
        <v>0</v>
      </c>
      <c r="J99" s="32"/>
      <c r="K99" s="39">
        <f>+SUMIFS('2026 Lighting Rates'!B:B,'2026 Lighting Rates'!A:A,A99)</f>
        <v>23.74</v>
      </c>
      <c r="L99" s="39">
        <f>+SUMIFS('2026 Lighting Rates'!C:C,'2026 Lighting Rates'!A:A,A99)</f>
        <v>8.17</v>
      </c>
      <c r="M99" s="47">
        <f t="shared" si="25"/>
        <v>31.909999999999997</v>
      </c>
      <c r="N99" s="31">
        <f t="shared" si="26"/>
        <v>0</v>
      </c>
      <c r="O99" s="32"/>
      <c r="P99" s="47">
        <f t="shared" si="27"/>
        <v>23.74</v>
      </c>
      <c r="Q99" s="47">
        <f t="shared" si="28"/>
        <v>8.17</v>
      </c>
      <c r="R99" s="47">
        <f t="shared" si="29"/>
        <v>31.909999999999997</v>
      </c>
      <c r="S99" s="39">
        <f t="shared" si="30"/>
        <v>0</v>
      </c>
      <c r="T99" s="183">
        <f t="shared" si="31"/>
        <v>0</v>
      </c>
    </row>
    <row r="100" spans="1:20" ht="17.100000000000001" customHeight="1" x14ac:dyDescent="0.25">
      <c r="A100" s="148"/>
      <c r="B100" s="148"/>
      <c r="D100" s="57">
        <v>37</v>
      </c>
      <c r="E100" s="10" t="s">
        <v>982</v>
      </c>
      <c r="F100" s="8"/>
      <c r="G100" s="8"/>
      <c r="H100" s="8"/>
      <c r="I100" s="32"/>
      <c r="J100" s="32"/>
      <c r="K100" s="32"/>
      <c r="L100" s="32"/>
      <c r="M100" s="32"/>
      <c r="N100" s="32">
        <f>SUM(N86:N99)</f>
        <v>0</v>
      </c>
      <c r="O100" s="153"/>
      <c r="P100" s="32"/>
      <c r="Q100" s="32"/>
      <c r="R100" s="32"/>
      <c r="S100" s="32">
        <f>SUM(S86:S99)</f>
        <v>0</v>
      </c>
      <c r="T100" s="183">
        <f t="shared" si="31"/>
        <v>0</v>
      </c>
    </row>
    <row r="101" spans="1:20" ht="17.100000000000001" customHeight="1" x14ac:dyDescent="0.25">
      <c r="A101" s="148"/>
      <c r="B101" s="148"/>
      <c r="D101" s="57">
        <v>38</v>
      </c>
      <c r="E101" s="10"/>
      <c r="F101" s="8"/>
      <c r="G101" s="8"/>
      <c r="H101" s="8"/>
      <c r="I101" s="32"/>
      <c r="J101" s="32"/>
      <c r="K101" s="32"/>
      <c r="L101" s="32"/>
      <c r="M101" s="32"/>
      <c r="N101" s="32"/>
      <c r="O101" s="153"/>
      <c r="P101" s="32"/>
      <c r="Q101" s="32"/>
      <c r="R101" s="32"/>
      <c r="S101" s="32"/>
      <c r="T101" s="32"/>
    </row>
    <row r="102" spans="1:20" ht="17.100000000000001" customHeight="1" x14ac:dyDescent="0.25">
      <c r="A102" s="148"/>
      <c r="B102" s="148"/>
      <c r="D102" s="57">
        <v>39</v>
      </c>
      <c r="E102" s="10"/>
      <c r="F102" s="8"/>
      <c r="G102" s="8"/>
      <c r="H102" s="8"/>
      <c r="I102" s="32"/>
      <c r="J102" s="32"/>
      <c r="K102" s="32"/>
      <c r="L102" s="32"/>
      <c r="M102" s="32"/>
      <c r="N102" s="32"/>
      <c r="O102" s="153"/>
      <c r="P102" s="32"/>
      <c r="Q102" s="32"/>
      <c r="R102" s="32"/>
      <c r="S102" s="32"/>
      <c r="T102" s="32"/>
    </row>
    <row r="103" spans="1:20" ht="17.100000000000001" customHeight="1" thickBot="1" x14ac:dyDescent="0.3">
      <c r="A103" s="148"/>
      <c r="B103" s="148"/>
      <c r="D103" s="58">
        <v>40</v>
      </c>
      <c r="E103" s="231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207">
        <f>O103-O100</f>
        <v>0</v>
      </c>
      <c r="Q103" s="9"/>
      <c r="R103" s="9"/>
      <c r="S103" s="9"/>
      <c r="T103" s="13" t="s">
        <v>1040</v>
      </c>
    </row>
    <row r="104" spans="1:20" ht="17.100000000000001" customHeight="1" x14ac:dyDescent="0.25">
      <c r="A104" s="148"/>
      <c r="B104" s="148"/>
      <c r="D104" s="8" t="s">
        <v>1002</v>
      </c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 t="s">
        <v>1003</v>
      </c>
      <c r="S104" s="8"/>
      <c r="T104" s="8"/>
    </row>
    <row r="105" spans="1:20" ht="17.100000000000001" customHeight="1" thickBot="1" x14ac:dyDescent="0.3">
      <c r="A105" s="148"/>
      <c r="B105" s="148"/>
      <c r="D105" s="9" t="str">
        <f>+$D$1</f>
        <v>SCHEDULE E-13d</v>
      </c>
      <c r="E105" s="9"/>
      <c r="F105" s="9"/>
      <c r="G105" s="9"/>
      <c r="H105" s="9"/>
      <c r="I105" s="9" t="str">
        <f>+$I$1</f>
        <v>REVENUE BY RATE SCHEDULE - LIGHTING SCHEDULE CALCULATION</v>
      </c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 t="s">
        <v>1041</v>
      </c>
    </row>
    <row r="106" spans="1:20" ht="17.100000000000001" customHeight="1" x14ac:dyDescent="0.25">
      <c r="A106" s="148"/>
      <c r="B106" s="148"/>
      <c r="D106" s="8" t="s">
        <v>307</v>
      </c>
      <c r="E106" s="8"/>
      <c r="F106" s="8"/>
      <c r="I106" s="11" t="s">
        <v>1005</v>
      </c>
      <c r="J106" s="8" t="s">
        <v>1228</v>
      </c>
      <c r="K106" s="8"/>
      <c r="L106" s="99"/>
      <c r="M106" s="99"/>
      <c r="N106" s="8"/>
      <c r="O106" s="8"/>
      <c r="P106" s="99"/>
      <c r="Q106" s="99" t="s">
        <v>309</v>
      </c>
      <c r="R106" s="8"/>
      <c r="S106" s="8"/>
      <c r="T106" s="10"/>
    </row>
    <row r="107" spans="1:20" ht="17.100000000000001" customHeight="1" x14ac:dyDescent="0.25">
      <c r="A107" s="148"/>
      <c r="B107" s="148"/>
      <c r="D107" s="8"/>
      <c r="E107" s="8"/>
      <c r="F107" s="8"/>
      <c r="G107" s="8"/>
      <c r="H107" s="8" t="str">
        <f>IF(+$H$3="","",$H$3)</f>
        <v/>
      </c>
      <c r="I107" s="8"/>
      <c r="J107" s="8" t="s">
        <v>1229</v>
      </c>
      <c r="K107" s="8"/>
      <c r="L107" s="11"/>
      <c r="M107" s="10"/>
      <c r="N107" s="8"/>
      <c r="O107" s="8"/>
      <c r="P107" s="8"/>
      <c r="Q107" s="224"/>
      <c r="R107" s="117" t="s">
        <v>916</v>
      </c>
      <c r="S107" s="116" t="s">
        <v>1512</v>
      </c>
      <c r="T107" s="11"/>
    </row>
    <row r="108" spans="1:20" ht="17.100000000000001" customHeight="1" x14ac:dyDescent="0.25">
      <c r="A108" s="148"/>
      <c r="B108" s="148"/>
      <c r="D108" s="8" t="s">
        <v>310</v>
      </c>
      <c r="E108" s="8"/>
      <c r="F108" s="8"/>
      <c r="G108" s="8"/>
      <c r="H108" s="8" t="str">
        <f>IF(+$H$4="","",$H$4)</f>
        <v/>
      </c>
      <c r="I108" s="8"/>
      <c r="J108" s="8" t="s">
        <v>1230</v>
      </c>
      <c r="K108" s="8"/>
      <c r="L108" s="11"/>
      <c r="M108" s="10"/>
      <c r="N108" s="11"/>
      <c r="O108" s="11"/>
      <c r="P108" s="8"/>
      <c r="Q108" s="11"/>
      <c r="R108" s="265"/>
      <c r="S108" s="116"/>
      <c r="T108" s="11"/>
    </row>
    <row r="109" spans="1:20" ht="17.100000000000001" customHeight="1" x14ac:dyDescent="0.25">
      <c r="A109" s="148"/>
      <c r="B109" s="148"/>
      <c r="D109" s="8"/>
      <c r="E109" s="8"/>
      <c r="F109" s="8"/>
      <c r="G109" s="8"/>
      <c r="H109" s="8" t="str">
        <f>IF(+$H$5="","",$H$5)</f>
        <v/>
      </c>
      <c r="I109" s="8"/>
      <c r="J109" s="8" t="s">
        <v>1231</v>
      </c>
      <c r="K109" s="8"/>
      <c r="L109" s="11"/>
      <c r="M109" s="10"/>
      <c r="N109" s="11"/>
      <c r="O109" s="11"/>
      <c r="P109" s="8"/>
      <c r="Q109" s="11"/>
      <c r="R109" s="265"/>
      <c r="S109" s="116"/>
      <c r="T109" s="11"/>
    </row>
    <row r="110" spans="1:20" ht="17.100000000000001" customHeight="1" thickBot="1" x14ac:dyDescent="0.3">
      <c r="A110" s="148"/>
      <c r="B110" s="148"/>
      <c r="D110" s="9" t="str">
        <f>+$D$6</f>
        <v>DOCKET No. 20240026-EI</v>
      </c>
      <c r="E110" s="9"/>
      <c r="F110" s="9"/>
      <c r="G110" s="9"/>
      <c r="H110" s="9" t="str">
        <f>IF(+$H$8="","",$H$8)</f>
        <v/>
      </c>
      <c r="I110" s="9"/>
      <c r="J110" s="9"/>
      <c r="K110" s="58"/>
      <c r="L110" s="9"/>
      <c r="M110" s="9"/>
      <c r="N110" s="9"/>
      <c r="O110" s="9"/>
      <c r="P110" s="9"/>
      <c r="Q110" s="9"/>
      <c r="R110" s="264"/>
      <c r="S110" s="114" t="s">
        <v>1519</v>
      </c>
      <c r="T110" s="9"/>
    </row>
    <row r="111" spans="1:20" ht="17.100000000000001" customHeight="1" x14ac:dyDescent="0.25">
      <c r="A111" s="148"/>
      <c r="B111" s="148"/>
      <c r="D111" s="225"/>
      <c r="E111" s="383" t="s">
        <v>946</v>
      </c>
      <c r="F111" s="383"/>
      <c r="G111" s="383"/>
      <c r="H111" s="383"/>
      <c r="I111" s="383"/>
      <c r="J111" s="383"/>
      <c r="K111" s="383"/>
      <c r="L111" s="383"/>
      <c r="M111" s="383"/>
      <c r="N111" s="383"/>
      <c r="O111" s="383"/>
      <c r="P111" s="383"/>
      <c r="Q111" s="383"/>
      <c r="R111" s="383"/>
      <c r="S111" s="383"/>
      <c r="T111" s="383"/>
    </row>
    <row r="112" spans="1:20" ht="17.100000000000001" customHeight="1" x14ac:dyDescent="0.25">
      <c r="A112" s="148"/>
      <c r="B112" s="148"/>
      <c r="D112" s="8"/>
      <c r="E112" s="57"/>
      <c r="F112" s="12"/>
      <c r="G112" s="12"/>
      <c r="H112" s="12"/>
      <c r="I112" s="12"/>
      <c r="J112" s="12"/>
      <c r="K112" s="384" t="s">
        <v>947</v>
      </c>
      <c r="L112" s="384"/>
      <c r="M112" s="384"/>
      <c r="N112" s="384"/>
      <c r="O112" s="12"/>
      <c r="P112" s="384" t="s">
        <v>871</v>
      </c>
      <c r="Q112" s="384"/>
      <c r="R112" s="384"/>
      <c r="S112" s="384"/>
      <c r="T112" s="12"/>
    </row>
    <row r="113" spans="1:20" ht="17.100000000000001" customHeight="1" x14ac:dyDescent="0.25">
      <c r="A113" s="148"/>
      <c r="B113" s="148"/>
      <c r="D113" s="8"/>
      <c r="E113" s="57"/>
      <c r="F113" s="12"/>
      <c r="G113" s="57" t="s">
        <v>948</v>
      </c>
      <c r="H113" s="12" t="s">
        <v>949</v>
      </c>
      <c r="I113" s="57"/>
      <c r="J113" s="57"/>
      <c r="K113" s="57" t="s">
        <v>950</v>
      </c>
      <c r="L113" s="57" t="s">
        <v>950</v>
      </c>
      <c r="M113" s="57" t="s">
        <v>951</v>
      </c>
      <c r="N113" s="12" t="s">
        <v>806</v>
      </c>
      <c r="O113" s="12"/>
      <c r="P113" s="57" t="s">
        <v>950</v>
      </c>
      <c r="Q113" s="57" t="s">
        <v>950</v>
      </c>
      <c r="R113" s="57" t="s">
        <v>951</v>
      </c>
      <c r="S113" s="57" t="s">
        <v>806</v>
      </c>
      <c r="T113" s="57"/>
    </row>
    <row r="114" spans="1:20" ht="17.100000000000001" customHeight="1" x14ac:dyDescent="0.25">
      <c r="A114" s="148"/>
      <c r="B114" s="148"/>
      <c r="D114" s="57" t="s">
        <v>313</v>
      </c>
      <c r="E114" s="57" t="s">
        <v>314</v>
      </c>
      <c r="F114" s="57"/>
      <c r="G114" s="57" t="s">
        <v>952</v>
      </c>
      <c r="H114" s="57" t="s">
        <v>950</v>
      </c>
      <c r="I114" s="12" t="s">
        <v>948</v>
      </c>
      <c r="J114" s="12"/>
      <c r="K114" s="12" t="s">
        <v>953</v>
      </c>
      <c r="L114" s="12" t="s">
        <v>954</v>
      </c>
      <c r="M114" s="12" t="s">
        <v>950</v>
      </c>
      <c r="N114" s="57" t="s">
        <v>335</v>
      </c>
      <c r="O114" s="57"/>
      <c r="P114" s="12" t="s">
        <v>953</v>
      </c>
      <c r="Q114" s="12" t="s">
        <v>954</v>
      </c>
      <c r="R114" s="12" t="s">
        <v>950</v>
      </c>
      <c r="S114" s="12" t="s">
        <v>335</v>
      </c>
      <c r="T114" s="12" t="s">
        <v>855</v>
      </c>
    </row>
    <row r="115" spans="1:20" ht="17.100000000000001" customHeight="1" thickBot="1" x14ac:dyDescent="0.3">
      <c r="A115" s="148"/>
      <c r="B115" s="148"/>
      <c r="D115" s="58" t="s">
        <v>319</v>
      </c>
      <c r="E115" s="58" t="s">
        <v>953</v>
      </c>
      <c r="F115" s="58"/>
      <c r="G115" s="58" t="s">
        <v>955</v>
      </c>
      <c r="H115" s="58" t="s">
        <v>710</v>
      </c>
      <c r="I115" s="14" t="s">
        <v>710</v>
      </c>
      <c r="J115" s="14"/>
      <c r="K115" s="14" t="s">
        <v>956</v>
      </c>
      <c r="L115" s="14" t="s">
        <v>956</v>
      </c>
      <c r="M115" s="14" t="s">
        <v>956</v>
      </c>
      <c r="N115" s="14" t="s">
        <v>317</v>
      </c>
      <c r="O115" s="14"/>
      <c r="P115" s="14" t="s">
        <v>956</v>
      </c>
      <c r="Q115" s="14" t="s">
        <v>956</v>
      </c>
      <c r="R115" s="14" t="s">
        <v>956</v>
      </c>
      <c r="S115" s="14" t="s">
        <v>317</v>
      </c>
      <c r="T115" s="14" t="s">
        <v>325</v>
      </c>
    </row>
    <row r="116" spans="1:20" ht="17.100000000000001" customHeight="1" x14ac:dyDescent="0.25">
      <c r="A116" s="148"/>
      <c r="B116" s="148"/>
      <c r="D116" s="57">
        <v>1</v>
      </c>
      <c r="E116" s="200" t="s">
        <v>1042</v>
      </c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</row>
    <row r="117" spans="1:20" ht="17.100000000000001" customHeight="1" x14ac:dyDescent="0.25">
      <c r="A117" s="148"/>
      <c r="B117" s="148"/>
      <c r="D117" s="57">
        <v>2</v>
      </c>
      <c r="E117" s="385" t="s">
        <v>1043</v>
      </c>
      <c r="F117" s="385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</row>
    <row r="118" spans="1:20" ht="17.100000000000001" customHeight="1" x14ac:dyDescent="0.25">
      <c r="A118" s="148">
        <v>828</v>
      </c>
      <c r="B118" s="148"/>
      <c r="D118" s="57">
        <v>3</v>
      </c>
      <c r="E118" s="232" t="s">
        <v>1044</v>
      </c>
      <c r="F118" s="11" t="s">
        <v>1045</v>
      </c>
      <c r="G118" s="32">
        <f>+SUMIFS('2025 Lighting BDs'!C:C,'2025 Lighting BDs'!B:B,'E-13d'!A118)</f>
        <v>18438</v>
      </c>
      <c r="H118" s="32">
        <v>20</v>
      </c>
      <c r="I118" s="32">
        <f t="shared" ref="I118:I134" si="32">+H118*G118</f>
        <v>368760</v>
      </c>
      <c r="J118" s="33"/>
      <c r="K118" s="39">
        <f>+SUMIFS('2026 Lighting Rates'!B:B,'2026 Lighting Rates'!A:A,A118)</f>
        <v>11.03</v>
      </c>
      <c r="L118" s="39">
        <f>+SUMIFS('2026 Lighting Rates'!C:C,'2026 Lighting Rates'!A:A,A118)</f>
        <v>1.74</v>
      </c>
      <c r="M118" s="47">
        <f t="shared" ref="M118:M134" si="33">+K118+L118</f>
        <v>12.77</v>
      </c>
      <c r="N118" s="31">
        <f t="shared" ref="N118:N134" si="34">+M118*G118</f>
        <v>235453.25999999998</v>
      </c>
      <c r="O118" s="35"/>
      <c r="P118" s="47">
        <f t="shared" ref="P118:P134" si="35">+K118</f>
        <v>11.03</v>
      </c>
      <c r="Q118" s="47">
        <f t="shared" ref="Q118:Q134" si="36">+L118</f>
        <v>1.74</v>
      </c>
      <c r="R118" s="47">
        <f t="shared" ref="R118:R134" si="37">+P118+Q118</f>
        <v>12.77</v>
      </c>
      <c r="S118" s="161">
        <f t="shared" ref="S118:S134" si="38">+R118*G118</f>
        <v>235453.25999999998</v>
      </c>
      <c r="T118" s="183">
        <f t="shared" ref="T118:T135" si="39">IF(S118=0,0,(S118-N118)/N118)</f>
        <v>0</v>
      </c>
    </row>
    <row r="119" spans="1:20" ht="17.100000000000001" customHeight="1" x14ac:dyDescent="0.25">
      <c r="A119" s="148">
        <v>820</v>
      </c>
      <c r="B119" s="148"/>
      <c r="D119" s="57">
        <v>4</v>
      </c>
      <c r="E119" s="233" t="s">
        <v>1046</v>
      </c>
      <c r="F119" s="11" t="s">
        <v>1047</v>
      </c>
      <c r="G119" s="32">
        <f>+SUMIFS('2025 Lighting BDs'!C:C,'2025 Lighting BDs'!B:B,'E-13d'!A119)</f>
        <v>27841</v>
      </c>
      <c r="H119" s="32">
        <v>36</v>
      </c>
      <c r="I119" s="32">
        <f t="shared" si="32"/>
        <v>1002276</v>
      </c>
      <c r="J119" s="33"/>
      <c r="K119" s="39">
        <f>+SUMIFS('2026 Lighting Rates'!B:B,'2026 Lighting Rates'!A:A,A119)</f>
        <v>16.59</v>
      </c>
      <c r="L119" s="39">
        <f>+SUMIFS('2026 Lighting Rates'!C:C,'2026 Lighting Rates'!A:A,A119)</f>
        <v>1.19</v>
      </c>
      <c r="M119" s="47">
        <f t="shared" si="33"/>
        <v>17.78</v>
      </c>
      <c r="N119" s="31">
        <f t="shared" si="34"/>
        <v>495012.98000000004</v>
      </c>
      <c r="O119" s="32"/>
      <c r="P119" s="47">
        <f t="shared" si="35"/>
        <v>16.59</v>
      </c>
      <c r="Q119" s="47">
        <f t="shared" si="36"/>
        <v>1.19</v>
      </c>
      <c r="R119" s="47">
        <f t="shared" si="37"/>
        <v>17.78</v>
      </c>
      <c r="S119" s="161">
        <f t="shared" si="38"/>
        <v>495012.98000000004</v>
      </c>
      <c r="T119" s="183">
        <f t="shared" si="39"/>
        <v>0</v>
      </c>
    </row>
    <row r="120" spans="1:20" ht="17.100000000000001" customHeight="1" x14ac:dyDescent="0.25">
      <c r="A120" s="148">
        <v>821</v>
      </c>
      <c r="B120" s="148"/>
      <c r="D120" s="57">
        <v>5</v>
      </c>
      <c r="E120" s="233" t="s">
        <v>1048</v>
      </c>
      <c r="F120" s="11" t="s">
        <v>1049</v>
      </c>
      <c r="G120" s="32">
        <f>+SUMIFS('2025 Lighting BDs'!C:C,'2025 Lighting BDs'!B:B,'E-13d'!A120)</f>
        <v>284</v>
      </c>
      <c r="H120" s="32">
        <v>37</v>
      </c>
      <c r="I120" s="32">
        <f t="shared" si="32"/>
        <v>10508</v>
      </c>
      <c r="J120" s="33"/>
      <c r="K120" s="39">
        <f>+SUMIFS('2026 Lighting Rates'!B:B,'2026 Lighting Rates'!A:A,A120)</f>
        <v>16.59</v>
      </c>
      <c r="L120" s="39">
        <f>+SUMIFS('2026 Lighting Rates'!C:C,'2026 Lighting Rates'!A:A,A120)</f>
        <v>1.2</v>
      </c>
      <c r="M120" s="47">
        <f t="shared" si="33"/>
        <v>17.79</v>
      </c>
      <c r="N120" s="31">
        <f t="shared" si="34"/>
        <v>5052.3599999999997</v>
      </c>
      <c r="O120" s="32"/>
      <c r="P120" s="47">
        <f t="shared" si="35"/>
        <v>16.59</v>
      </c>
      <c r="Q120" s="47">
        <f t="shared" si="36"/>
        <v>1.2</v>
      </c>
      <c r="R120" s="47">
        <f t="shared" si="37"/>
        <v>17.79</v>
      </c>
      <c r="S120" s="161">
        <f t="shared" si="38"/>
        <v>5052.3599999999997</v>
      </c>
      <c r="T120" s="183">
        <f t="shared" si="39"/>
        <v>0</v>
      </c>
    </row>
    <row r="121" spans="1:20" ht="17.100000000000001" customHeight="1" x14ac:dyDescent="0.25">
      <c r="A121" s="148">
        <v>829</v>
      </c>
      <c r="B121" s="148"/>
      <c r="D121" s="57">
        <v>6</v>
      </c>
      <c r="E121" s="233" t="s">
        <v>1050</v>
      </c>
      <c r="F121" s="11" t="s">
        <v>1051</v>
      </c>
      <c r="G121" s="32">
        <f>+SUMIFS('2025 Lighting BDs'!C:C,'2025 Lighting BDs'!B:B,'E-13d'!A121)</f>
        <v>5139</v>
      </c>
      <c r="H121" s="32">
        <v>55</v>
      </c>
      <c r="I121" s="32">
        <f t="shared" si="32"/>
        <v>282645</v>
      </c>
      <c r="J121" s="33"/>
      <c r="K121" s="39">
        <f>+SUMIFS('2026 Lighting Rates'!B:B,'2026 Lighting Rates'!A:A,A121)</f>
        <v>16.53</v>
      </c>
      <c r="L121" s="39">
        <f>+SUMIFS('2026 Lighting Rates'!C:C,'2026 Lighting Rates'!A:A,A121)</f>
        <v>2.2599999999999998</v>
      </c>
      <c r="M121" s="47">
        <f t="shared" si="33"/>
        <v>18.79</v>
      </c>
      <c r="N121" s="31">
        <f t="shared" si="34"/>
        <v>96561.81</v>
      </c>
      <c r="O121" s="32"/>
      <c r="P121" s="47">
        <f t="shared" si="35"/>
        <v>16.53</v>
      </c>
      <c r="Q121" s="47">
        <f t="shared" si="36"/>
        <v>2.2599999999999998</v>
      </c>
      <c r="R121" s="47">
        <f t="shared" si="37"/>
        <v>18.79</v>
      </c>
      <c r="S121" s="161">
        <f t="shared" si="38"/>
        <v>96561.81</v>
      </c>
      <c r="T121" s="183">
        <f t="shared" si="39"/>
        <v>0</v>
      </c>
    </row>
    <row r="122" spans="1:20" ht="17.100000000000001" customHeight="1" x14ac:dyDescent="0.25">
      <c r="A122" s="148">
        <v>822</v>
      </c>
      <c r="B122" s="148"/>
      <c r="D122" s="57">
        <v>7</v>
      </c>
      <c r="E122" s="233" t="s">
        <v>1052</v>
      </c>
      <c r="F122" s="11" t="s">
        <v>1053</v>
      </c>
      <c r="G122" s="32">
        <f>+SUMIFS('2025 Lighting BDs'!C:C,'2025 Lighting BDs'!B:B,'E-13d'!A122)</f>
        <v>391</v>
      </c>
      <c r="H122" s="32">
        <v>69</v>
      </c>
      <c r="I122" s="32">
        <f t="shared" si="32"/>
        <v>26979</v>
      </c>
      <c r="J122" s="33"/>
      <c r="K122" s="39">
        <f>+SUMIFS('2026 Lighting Rates'!B:B,'2026 Lighting Rates'!A:A,A122)</f>
        <v>20.97</v>
      </c>
      <c r="L122" s="39">
        <f>+SUMIFS('2026 Lighting Rates'!C:C,'2026 Lighting Rates'!A:A,A122)</f>
        <v>1.26</v>
      </c>
      <c r="M122" s="47">
        <f t="shared" si="33"/>
        <v>22.23</v>
      </c>
      <c r="N122" s="31">
        <f t="shared" si="34"/>
        <v>8691.93</v>
      </c>
      <c r="O122" s="32"/>
      <c r="P122" s="47">
        <f t="shared" si="35"/>
        <v>20.97</v>
      </c>
      <c r="Q122" s="47">
        <f t="shared" si="36"/>
        <v>1.26</v>
      </c>
      <c r="R122" s="47">
        <f t="shared" si="37"/>
        <v>22.23</v>
      </c>
      <c r="S122" s="161">
        <f t="shared" si="38"/>
        <v>8691.93</v>
      </c>
      <c r="T122" s="183">
        <f t="shared" si="39"/>
        <v>0</v>
      </c>
    </row>
    <row r="123" spans="1:20" ht="17.100000000000001" customHeight="1" x14ac:dyDescent="0.25">
      <c r="A123" s="148">
        <v>823</v>
      </c>
      <c r="B123" s="148"/>
      <c r="D123" s="57">
        <v>8</v>
      </c>
      <c r="E123" s="233" t="s">
        <v>1054</v>
      </c>
      <c r="F123" s="11" t="s">
        <v>1055</v>
      </c>
      <c r="G123" s="32">
        <f>+SUMIFS('2025 Lighting BDs'!C:C,'2025 Lighting BDs'!B:B,'E-13d'!A123)</f>
        <v>24904</v>
      </c>
      <c r="H123" s="32">
        <v>72</v>
      </c>
      <c r="I123" s="32">
        <f t="shared" si="32"/>
        <v>1793088</v>
      </c>
      <c r="J123" s="33"/>
      <c r="K123" s="39">
        <f>+SUMIFS('2026 Lighting Rates'!B:B,'2026 Lighting Rates'!A:A,A123)</f>
        <v>24.17</v>
      </c>
      <c r="L123" s="39">
        <f>+SUMIFS('2026 Lighting Rates'!C:C,'2026 Lighting Rates'!A:A,A123)</f>
        <v>1.38</v>
      </c>
      <c r="M123" s="47">
        <f t="shared" si="33"/>
        <v>25.55</v>
      </c>
      <c r="N123" s="31">
        <f t="shared" si="34"/>
        <v>636297.20000000007</v>
      </c>
      <c r="O123" s="32"/>
      <c r="P123" s="47">
        <f t="shared" si="35"/>
        <v>24.17</v>
      </c>
      <c r="Q123" s="47">
        <f t="shared" si="36"/>
        <v>1.38</v>
      </c>
      <c r="R123" s="47">
        <f t="shared" si="37"/>
        <v>25.55</v>
      </c>
      <c r="S123" s="161">
        <f t="shared" si="38"/>
        <v>636297.20000000007</v>
      </c>
      <c r="T123" s="183">
        <f t="shared" si="39"/>
        <v>0</v>
      </c>
    </row>
    <row r="124" spans="1:20" ht="17.100000000000001" customHeight="1" x14ac:dyDescent="0.25">
      <c r="A124" s="148">
        <v>835</v>
      </c>
      <c r="B124" s="148"/>
      <c r="D124" s="57">
        <v>9</v>
      </c>
      <c r="E124" s="233" t="s">
        <v>1056</v>
      </c>
      <c r="F124" s="11" t="s">
        <v>1057</v>
      </c>
      <c r="G124" s="32">
        <f>+SUMIFS('2025 Lighting BDs'!C:C,'2025 Lighting BDs'!B:B,'E-13d'!A124)</f>
        <v>7792</v>
      </c>
      <c r="H124" s="32">
        <v>21</v>
      </c>
      <c r="I124" s="32">
        <f t="shared" si="32"/>
        <v>163632</v>
      </c>
      <c r="J124" s="33"/>
      <c r="K124" s="39">
        <f>+SUMIFS('2026 Lighting Rates'!B:B,'2026 Lighting Rates'!A:A,A124)</f>
        <v>23.77</v>
      </c>
      <c r="L124" s="39">
        <f>+SUMIFS('2026 Lighting Rates'!C:C,'2026 Lighting Rates'!A:A,A124)</f>
        <v>2.2799999999999998</v>
      </c>
      <c r="M124" s="47">
        <f t="shared" si="33"/>
        <v>26.05</v>
      </c>
      <c r="N124" s="31">
        <f t="shared" si="34"/>
        <v>202981.6</v>
      </c>
      <c r="O124" s="32"/>
      <c r="P124" s="47">
        <f t="shared" si="35"/>
        <v>23.77</v>
      </c>
      <c r="Q124" s="47">
        <f t="shared" si="36"/>
        <v>2.2799999999999998</v>
      </c>
      <c r="R124" s="47">
        <f t="shared" si="37"/>
        <v>26.05</v>
      </c>
      <c r="S124" s="161">
        <f t="shared" si="38"/>
        <v>202981.6</v>
      </c>
      <c r="T124" s="183">
        <f t="shared" si="39"/>
        <v>0</v>
      </c>
    </row>
    <row r="125" spans="1:20" ht="17.100000000000001" customHeight="1" x14ac:dyDescent="0.25">
      <c r="A125" s="148">
        <v>824</v>
      </c>
      <c r="B125" s="148"/>
      <c r="D125" s="57">
        <v>10</v>
      </c>
      <c r="E125" s="233" t="s">
        <v>1058</v>
      </c>
      <c r="F125" s="11" t="s">
        <v>1059</v>
      </c>
      <c r="G125" s="32">
        <f>+SUMIFS('2025 Lighting BDs'!C:C,'2025 Lighting BDs'!B:B,'E-13d'!A125)</f>
        <v>38356</v>
      </c>
      <c r="H125" s="32">
        <v>24</v>
      </c>
      <c r="I125" s="32">
        <f t="shared" si="32"/>
        <v>920544</v>
      </c>
      <c r="J125" s="33"/>
      <c r="K125" s="39">
        <f>+SUMIFS('2026 Lighting Rates'!B:B,'2026 Lighting Rates'!A:A,A125)</f>
        <v>28.02</v>
      </c>
      <c r="L125" s="39">
        <f>+SUMIFS('2026 Lighting Rates'!C:C,'2026 Lighting Rates'!A:A,A125)</f>
        <v>1.54</v>
      </c>
      <c r="M125" s="47">
        <f t="shared" si="33"/>
        <v>29.56</v>
      </c>
      <c r="N125" s="31">
        <f t="shared" si="34"/>
        <v>1133803.3599999999</v>
      </c>
      <c r="O125" s="32"/>
      <c r="P125" s="47">
        <f t="shared" si="35"/>
        <v>28.02</v>
      </c>
      <c r="Q125" s="47">
        <f t="shared" si="36"/>
        <v>1.54</v>
      </c>
      <c r="R125" s="47">
        <f t="shared" si="37"/>
        <v>29.56</v>
      </c>
      <c r="S125" s="161">
        <f t="shared" si="38"/>
        <v>1133803.3599999999</v>
      </c>
      <c r="T125" s="183">
        <f t="shared" si="39"/>
        <v>0</v>
      </c>
    </row>
    <row r="126" spans="1:20" ht="17.100000000000001" customHeight="1" x14ac:dyDescent="0.25">
      <c r="A126" s="148">
        <v>825</v>
      </c>
      <c r="B126" s="148"/>
      <c r="D126" s="57">
        <v>11</v>
      </c>
      <c r="E126" s="233" t="s">
        <v>1060</v>
      </c>
      <c r="F126" s="11" t="s">
        <v>1061</v>
      </c>
      <c r="G126" s="32">
        <f>+SUMIFS('2025 Lighting BDs'!C:C,'2025 Lighting BDs'!B:B,'E-13d'!A126)</f>
        <v>13109</v>
      </c>
      <c r="H126" s="32">
        <v>35</v>
      </c>
      <c r="I126" s="32">
        <f t="shared" si="32"/>
        <v>458815</v>
      </c>
      <c r="J126" s="33"/>
      <c r="K126" s="39">
        <f>+SUMIFS('2026 Lighting Rates'!B:B,'2026 Lighting Rates'!A:A,A126)</f>
        <v>29.51</v>
      </c>
      <c r="L126" s="39">
        <f>+SUMIFS('2026 Lighting Rates'!C:C,'2026 Lighting Rates'!A:A,A126)</f>
        <v>1.56</v>
      </c>
      <c r="M126" s="47">
        <f t="shared" si="33"/>
        <v>31.07</v>
      </c>
      <c r="N126" s="31">
        <f t="shared" si="34"/>
        <v>407296.63</v>
      </c>
      <c r="O126" s="32"/>
      <c r="P126" s="47">
        <f t="shared" si="35"/>
        <v>29.51</v>
      </c>
      <c r="Q126" s="47">
        <f t="shared" si="36"/>
        <v>1.56</v>
      </c>
      <c r="R126" s="47">
        <f t="shared" si="37"/>
        <v>31.07</v>
      </c>
      <c r="S126" s="161">
        <f t="shared" si="38"/>
        <v>407296.63</v>
      </c>
      <c r="T126" s="183">
        <f t="shared" si="39"/>
        <v>0</v>
      </c>
    </row>
    <row r="127" spans="1:20" ht="17.100000000000001" customHeight="1" x14ac:dyDescent="0.25">
      <c r="A127" s="148">
        <v>836</v>
      </c>
      <c r="B127" s="148"/>
      <c r="D127" s="57">
        <v>12</v>
      </c>
      <c r="E127" s="233" t="s">
        <v>1062</v>
      </c>
      <c r="F127" s="11" t="s">
        <v>964</v>
      </c>
      <c r="G127" s="32">
        <f>+SUMIFS('2025 Lighting BDs'!C:C,'2025 Lighting BDs'!B:B,'E-13d'!A127)</f>
        <v>2049</v>
      </c>
      <c r="H127" s="32">
        <v>35</v>
      </c>
      <c r="I127" s="32">
        <f t="shared" si="32"/>
        <v>71715</v>
      </c>
      <c r="J127" s="33"/>
      <c r="K127" s="39">
        <f>+SUMIFS('2026 Lighting Rates'!B:B,'2026 Lighting Rates'!A:A,A127)</f>
        <v>24.02</v>
      </c>
      <c r="L127" s="39">
        <f>+SUMIFS('2026 Lighting Rates'!C:C,'2026 Lighting Rates'!A:A,A127)</f>
        <v>2.2799999999999998</v>
      </c>
      <c r="M127" s="47">
        <f t="shared" si="33"/>
        <v>26.3</v>
      </c>
      <c r="N127" s="31">
        <f t="shared" si="34"/>
        <v>53888.700000000004</v>
      </c>
      <c r="O127" s="32"/>
      <c r="P127" s="47">
        <f t="shared" si="35"/>
        <v>24.02</v>
      </c>
      <c r="Q127" s="47">
        <f t="shared" si="36"/>
        <v>2.2799999999999998</v>
      </c>
      <c r="R127" s="47">
        <f t="shared" si="37"/>
        <v>26.3</v>
      </c>
      <c r="S127" s="161">
        <f t="shared" si="38"/>
        <v>53888.700000000004</v>
      </c>
      <c r="T127" s="183">
        <f t="shared" si="39"/>
        <v>0</v>
      </c>
    </row>
    <row r="128" spans="1:20" ht="17.100000000000001" customHeight="1" x14ac:dyDescent="0.25">
      <c r="A128" s="148">
        <v>830</v>
      </c>
      <c r="B128" s="148"/>
      <c r="D128" s="57">
        <v>13</v>
      </c>
      <c r="E128" s="233" t="s">
        <v>1063</v>
      </c>
      <c r="F128" s="11" t="s">
        <v>1064</v>
      </c>
      <c r="G128" s="32">
        <f>+SUMIFS('2025 Lighting BDs'!C:C,'2025 Lighting BDs'!B:B,'E-13d'!A128)</f>
        <v>2013</v>
      </c>
      <c r="H128" s="32">
        <v>53</v>
      </c>
      <c r="I128" s="32">
        <f t="shared" si="32"/>
        <v>106689</v>
      </c>
      <c r="J128" s="33"/>
      <c r="K128" s="39">
        <f>+SUMIFS('2026 Lighting Rates'!B:B,'2026 Lighting Rates'!A:A,A128)</f>
        <v>21.37</v>
      </c>
      <c r="L128" s="39">
        <f>+SUMIFS('2026 Lighting Rates'!C:C,'2026 Lighting Rates'!A:A,A128)</f>
        <v>2.5099999999999998</v>
      </c>
      <c r="M128" s="47">
        <f t="shared" si="33"/>
        <v>23.880000000000003</v>
      </c>
      <c r="N128" s="31">
        <f t="shared" si="34"/>
        <v>48070.44</v>
      </c>
      <c r="O128" s="32"/>
      <c r="P128" s="47">
        <f t="shared" si="35"/>
        <v>21.37</v>
      </c>
      <c r="Q128" s="47">
        <f t="shared" si="36"/>
        <v>2.5099999999999998</v>
      </c>
      <c r="R128" s="47">
        <f t="shared" si="37"/>
        <v>23.880000000000003</v>
      </c>
      <c r="S128" s="161">
        <f t="shared" si="38"/>
        <v>48070.44</v>
      </c>
      <c r="T128" s="183">
        <f t="shared" si="39"/>
        <v>0</v>
      </c>
    </row>
    <row r="129" spans="1:20" ht="17.100000000000001" customHeight="1" x14ac:dyDescent="0.25">
      <c r="A129" s="148">
        <v>826</v>
      </c>
      <c r="B129" s="148"/>
      <c r="D129" s="57">
        <v>14</v>
      </c>
      <c r="E129" s="233" t="s">
        <v>1065</v>
      </c>
      <c r="F129" s="11" t="s">
        <v>1066</v>
      </c>
      <c r="G129" s="32">
        <f>+SUMIFS('2025 Lighting BDs'!C:C,'2025 Lighting BDs'!B:B,'E-13d'!A129)</f>
        <v>8301</v>
      </c>
      <c r="H129" s="32">
        <v>71</v>
      </c>
      <c r="I129" s="32">
        <f t="shared" si="32"/>
        <v>589371</v>
      </c>
      <c r="J129" s="8"/>
      <c r="K129" s="39">
        <f>+SUMIFS('2026 Lighting Rates'!B:B,'2026 Lighting Rates'!A:A,A129)</f>
        <v>27.49</v>
      </c>
      <c r="L129" s="39">
        <f>+SUMIFS('2026 Lighting Rates'!C:C,'2026 Lighting Rates'!A:A,A129)</f>
        <v>1.41</v>
      </c>
      <c r="M129" s="47">
        <f t="shared" si="33"/>
        <v>28.9</v>
      </c>
      <c r="N129" s="31">
        <f t="shared" si="34"/>
        <v>239898.9</v>
      </c>
      <c r="O129" s="8"/>
      <c r="P129" s="47">
        <f t="shared" si="35"/>
        <v>27.49</v>
      </c>
      <c r="Q129" s="47">
        <f t="shared" si="36"/>
        <v>1.41</v>
      </c>
      <c r="R129" s="47">
        <f t="shared" si="37"/>
        <v>28.9</v>
      </c>
      <c r="S129" s="161">
        <f t="shared" si="38"/>
        <v>239898.9</v>
      </c>
      <c r="T129" s="183">
        <f t="shared" si="39"/>
        <v>0</v>
      </c>
    </row>
    <row r="130" spans="1:20" ht="17.100000000000001" customHeight="1" x14ac:dyDescent="0.25">
      <c r="A130" s="148">
        <v>827</v>
      </c>
      <c r="B130" s="148"/>
      <c r="D130" s="57">
        <v>15</v>
      </c>
      <c r="E130" s="233" t="s">
        <v>1067</v>
      </c>
      <c r="F130" s="11" t="s">
        <v>1068</v>
      </c>
      <c r="G130" s="32">
        <f>+SUMIFS('2025 Lighting BDs'!C:C,'2025 Lighting BDs'!B:B,'E-13d'!A130)</f>
        <v>67227</v>
      </c>
      <c r="H130" s="32">
        <v>108</v>
      </c>
      <c r="I130" s="32">
        <f t="shared" si="32"/>
        <v>7260516</v>
      </c>
      <c r="J130" s="8"/>
      <c r="K130" s="39">
        <f>+SUMIFS('2026 Lighting Rates'!B:B,'2026 Lighting Rates'!A:A,A130)</f>
        <v>29.65</v>
      </c>
      <c r="L130" s="39">
        <f>+SUMIFS('2026 Lighting Rates'!C:C,'2026 Lighting Rates'!A:A,A130)</f>
        <v>1.55</v>
      </c>
      <c r="M130" s="47">
        <f t="shared" si="33"/>
        <v>31.2</v>
      </c>
      <c r="N130" s="31">
        <f t="shared" si="34"/>
        <v>2097482.4</v>
      </c>
      <c r="O130" s="8"/>
      <c r="P130" s="47">
        <f t="shared" si="35"/>
        <v>29.65</v>
      </c>
      <c r="Q130" s="47">
        <f t="shared" si="36"/>
        <v>1.55</v>
      </c>
      <c r="R130" s="47">
        <f t="shared" si="37"/>
        <v>31.2</v>
      </c>
      <c r="S130" s="161">
        <f t="shared" si="38"/>
        <v>2097482.4</v>
      </c>
      <c r="T130" s="183">
        <f t="shared" si="39"/>
        <v>0</v>
      </c>
    </row>
    <row r="131" spans="1:20" ht="17.100000000000001" customHeight="1" x14ac:dyDescent="0.25">
      <c r="A131" s="148">
        <v>831</v>
      </c>
      <c r="B131" s="148"/>
      <c r="D131" s="57">
        <v>16</v>
      </c>
      <c r="E131" s="233" t="s">
        <v>1069</v>
      </c>
      <c r="F131" s="11" t="s">
        <v>1070</v>
      </c>
      <c r="G131" s="32">
        <f>+SUMIFS('2025 Lighting BDs'!C:C,'2025 Lighting BDs'!B:B,'E-13d'!A131)</f>
        <v>2511</v>
      </c>
      <c r="H131" s="32">
        <v>83</v>
      </c>
      <c r="I131" s="32">
        <f t="shared" si="32"/>
        <v>208413</v>
      </c>
      <c r="J131" s="32"/>
      <c r="K131" s="39">
        <f>+SUMIFS('2026 Lighting Rates'!B:B,'2026 Lighting Rates'!A:A,A131)</f>
        <v>22.88</v>
      </c>
      <c r="L131" s="39">
        <f>+SUMIFS('2026 Lighting Rates'!C:C,'2026 Lighting Rates'!A:A,A131)</f>
        <v>3.45</v>
      </c>
      <c r="M131" s="47">
        <f t="shared" si="33"/>
        <v>26.33</v>
      </c>
      <c r="N131" s="31">
        <f t="shared" si="34"/>
        <v>66114.62999999999</v>
      </c>
      <c r="O131" s="32"/>
      <c r="P131" s="47">
        <f t="shared" si="35"/>
        <v>22.88</v>
      </c>
      <c r="Q131" s="47">
        <f t="shared" si="36"/>
        <v>3.45</v>
      </c>
      <c r="R131" s="47">
        <f t="shared" si="37"/>
        <v>26.33</v>
      </c>
      <c r="S131" s="161">
        <f t="shared" si="38"/>
        <v>66114.62999999999</v>
      </c>
      <c r="T131" s="183">
        <f t="shared" si="39"/>
        <v>0</v>
      </c>
    </row>
    <row r="132" spans="1:20" ht="17.100000000000001" customHeight="1" x14ac:dyDescent="0.25">
      <c r="A132" s="148">
        <v>832</v>
      </c>
      <c r="B132" s="148"/>
      <c r="D132" s="57">
        <v>17</v>
      </c>
      <c r="E132" s="233" t="s">
        <v>1071</v>
      </c>
      <c r="F132" s="11" t="s">
        <v>1072</v>
      </c>
      <c r="G132" s="32">
        <f>+SUMIFS('2025 Lighting BDs'!C:C,'2025 Lighting BDs'!B:B,'E-13d'!A132)</f>
        <v>15193</v>
      </c>
      <c r="H132" s="32">
        <v>126</v>
      </c>
      <c r="I132" s="32">
        <f t="shared" si="32"/>
        <v>1914318</v>
      </c>
      <c r="J132" s="32"/>
      <c r="K132" s="39">
        <f>+SUMIFS('2026 Lighting Rates'!B:B,'2026 Lighting Rates'!A:A,A132)</f>
        <v>27.56</v>
      </c>
      <c r="L132" s="39">
        <f>+SUMIFS('2026 Lighting Rates'!C:C,'2026 Lighting Rates'!A:A,A132)</f>
        <v>4.0999999999999996</v>
      </c>
      <c r="M132" s="47">
        <f t="shared" si="33"/>
        <v>31.659999999999997</v>
      </c>
      <c r="N132" s="31">
        <f t="shared" si="34"/>
        <v>481010.37999999995</v>
      </c>
      <c r="O132" s="32"/>
      <c r="P132" s="47">
        <f t="shared" si="35"/>
        <v>27.56</v>
      </c>
      <c r="Q132" s="47">
        <f t="shared" si="36"/>
        <v>4.0999999999999996</v>
      </c>
      <c r="R132" s="47">
        <f t="shared" si="37"/>
        <v>31.659999999999997</v>
      </c>
      <c r="S132" s="161">
        <f t="shared" si="38"/>
        <v>481010.37999999995</v>
      </c>
      <c r="T132" s="183">
        <f t="shared" si="39"/>
        <v>0</v>
      </c>
    </row>
    <row r="133" spans="1:20" ht="17.100000000000001" customHeight="1" x14ac:dyDescent="0.25">
      <c r="A133" s="148">
        <v>833</v>
      </c>
      <c r="B133" s="148"/>
      <c r="D133" s="57">
        <v>18</v>
      </c>
      <c r="E133" s="233" t="s">
        <v>1073</v>
      </c>
      <c r="F133" s="11" t="s">
        <v>1074</v>
      </c>
      <c r="G133" s="32">
        <f>+SUMIFS('2025 Lighting BDs'!C:C,'2025 Lighting BDs'!B:B,'E-13d'!A133)</f>
        <v>663</v>
      </c>
      <c r="H133" s="32">
        <v>86</v>
      </c>
      <c r="I133" s="32">
        <f t="shared" si="32"/>
        <v>57018</v>
      </c>
      <c r="J133" s="32"/>
      <c r="K133" s="39">
        <f>+SUMIFS('2026 Lighting Rates'!B:B,'2026 Lighting Rates'!A:A,A133)</f>
        <v>21.16</v>
      </c>
      <c r="L133" s="39">
        <f>+SUMIFS('2026 Lighting Rates'!C:C,'2026 Lighting Rates'!A:A,A133)</f>
        <v>3.04</v>
      </c>
      <c r="M133" s="47">
        <f t="shared" si="33"/>
        <v>24.2</v>
      </c>
      <c r="N133" s="31">
        <f t="shared" si="34"/>
        <v>16044.6</v>
      </c>
      <c r="O133" s="32"/>
      <c r="P133" s="47">
        <f t="shared" si="35"/>
        <v>21.16</v>
      </c>
      <c r="Q133" s="47">
        <f t="shared" si="36"/>
        <v>3.04</v>
      </c>
      <c r="R133" s="47">
        <f t="shared" si="37"/>
        <v>24.2</v>
      </c>
      <c r="S133" s="161">
        <f t="shared" si="38"/>
        <v>16044.6</v>
      </c>
      <c r="T133" s="183">
        <f t="shared" si="39"/>
        <v>0</v>
      </c>
    </row>
    <row r="134" spans="1:20" ht="17.100000000000001" customHeight="1" x14ac:dyDescent="0.25">
      <c r="A134" s="148">
        <v>834</v>
      </c>
      <c r="B134" s="148"/>
      <c r="D134" s="57">
        <v>19</v>
      </c>
      <c r="E134" s="233" t="s">
        <v>1075</v>
      </c>
      <c r="F134" s="11" t="s">
        <v>1076</v>
      </c>
      <c r="G134" s="32">
        <f>+SUMIFS('2025 Lighting BDs'!C:C,'2025 Lighting BDs'!B:B,'E-13d'!A134)</f>
        <v>225</v>
      </c>
      <c r="H134" s="32">
        <v>115</v>
      </c>
      <c r="I134" s="32">
        <f t="shared" si="32"/>
        <v>25875</v>
      </c>
      <c r="J134" s="32"/>
      <c r="K134" s="39">
        <f>+SUMIFS('2026 Lighting Rates'!B:B,'2026 Lighting Rates'!A:A,A134)</f>
        <v>23.47</v>
      </c>
      <c r="L134" s="39">
        <f>+SUMIFS('2026 Lighting Rates'!C:C,'2026 Lighting Rates'!A:A,A134)</f>
        <v>3.6</v>
      </c>
      <c r="M134" s="47">
        <f t="shared" si="33"/>
        <v>27.07</v>
      </c>
      <c r="N134" s="31">
        <f t="shared" si="34"/>
        <v>6090.75</v>
      </c>
      <c r="O134" s="32"/>
      <c r="P134" s="47">
        <f t="shared" si="35"/>
        <v>23.47</v>
      </c>
      <c r="Q134" s="47">
        <f t="shared" si="36"/>
        <v>3.6</v>
      </c>
      <c r="R134" s="47">
        <f t="shared" si="37"/>
        <v>27.07</v>
      </c>
      <c r="S134" s="161">
        <f t="shared" si="38"/>
        <v>6090.75</v>
      </c>
      <c r="T134" s="183">
        <f t="shared" si="39"/>
        <v>0</v>
      </c>
    </row>
    <row r="135" spans="1:20" ht="17.100000000000001" customHeight="1" x14ac:dyDescent="0.25">
      <c r="A135" s="148"/>
      <c r="B135" s="148"/>
      <c r="D135" s="57">
        <v>20</v>
      </c>
      <c r="E135" s="10" t="s">
        <v>982</v>
      </c>
      <c r="F135" s="8"/>
      <c r="G135" s="32"/>
      <c r="H135" s="32"/>
      <c r="I135" s="33"/>
      <c r="J135" s="33"/>
      <c r="K135" s="70"/>
      <c r="L135" s="70"/>
      <c r="M135" s="39"/>
      <c r="N135" s="31">
        <f>SUM(N118:N134)</f>
        <v>6229751.9299999997</v>
      </c>
      <c r="O135" s="32"/>
      <c r="P135" s="39"/>
      <c r="Q135" s="39"/>
      <c r="R135" s="39"/>
      <c r="S135" s="31">
        <f>SUM(S118:S134)</f>
        <v>6229751.9299999997</v>
      </c>
      <c r="T135" s="183">
        <f t="shared" si="39"/>
        <v>0</v>
      </c>
    </row>
    <row r="136" spans="1:20" ht="17.100000000000001" customHeight="1" x14ac:dyDescent="0.25">
      <c r="A136" s="148"/>
      <c r="B136" s="148"/>
      <c r="D136" s="57">
        <v>21</v>
      </c>
      <c r="E136" s="385" t="s">
        <v>1077</v>
      </c>
      <c r="F136" s="385"/>
      <c r="G136" s="32"/>
      <c r="H136" s="32"/>
      <c r="I136" s="33"/>
      <c r="J136" s="33"/>
      <c r="K136" s="70"/>
      <c r="L136" s="70"/>
      <c r="M136" s="39"/>
      <c r="N136" s="52"/>
      <c r="O136" s="32"/>
      <c r="P136" s="39"/>
      <c r="Q136" s="39"/>
      <c r="R136" s="39"/>
      <c r="S136" s="52"/>
      <c r="T136" s="234"/>
    </row>
    <row r="137" spans="1:20" ht="17.100000000000001" customHeight="1" x14ac:dyDescent="0.25">
      <c r="A137" s="148">
        <v>848</v>
      </c>
      <c r="B137" s="148"/>
      <c r="D137" s="57">
        <v>22</v>
      </c>
      <c r="E137" s="232" t="s">
        <v>1078</v>
      </c>
      <c r="F137" s="11" t="s">
        <v>1045</v>
      </c>
      <c r="G137" s="32">
        <f>+SUMIFS('2025 Lighting BDs'!C:C,'2025 Lighting BDs'!B:B,'E-13d'!A137)</f>
        <v>12</v>
      </c>
      <c r="H137" s="32">
        <v>10</v>
      </c>
      <c r="I137" s="32">
        <f t="shared" ref="I137:I153" si="40">+H137*G137</f>
        <v>120</v>
      </c>
      <c r="K137" s="39">
        <f>+SUMIFS('2026 Lighting Rates'!B:B,'2026 Lighting Rates'!A:A,A137)</f>
        <v>11.03</v>
      </c>
      <c r="L137" s="39">
        <f>+SUMIFS('2026 Lighting Rates'!C:C,'2026 Lighting Rates'!A:A,A137)</f>
        <v>1.74</v>
      </c>
      <c r="M137" s="47">
        <f t="shared" ref="M137:M152" si="41">+K137+L137</f>
        <v>12.77</v>
      </c>
      <c r="N137" s="31">
        <f t="shared" ref="N137:N153" si="42">+M137*G137</f>
        <v>153.24</v>
      </c>
      <c r="P137" s="47">
        <f t="shared" ref="P137:P153" si="43">+K137</f>
        <v>11.03</v>
      </c>
      <c r="Q137" s="47">
        <f t="shared" ref="Q137:Q153" si="44">+L137</f>
        <v>1.74</v>
      </c>
      <c r="R137" s="47">
        <f t="shared" ref="R137:R153" si="45">+P137+Q137</f>
        <v>12.77</v>
      </c>
      <c r="S137" s="161">
        <f t="shared" ref="S137:S153" si="46">+R137*G137</f>
        <v>153.24</v>
      </c>
      <c r="T137" s="183">
        <f t="shared" ref="T137:T154" si="47">IF(S137=0,0,(S137-N137)/N137)</f>
        <v>0</v>
      </c>
    </row>
    <row r="138" spans="1:20" ht="17.100000000000001" customHeight="1" x14ac:dyDescent="0.25">
      <c r="A138" s="148">
        <v>840</v>
      </c>
      <c r="B138" s="148"/>
      <c r="D138" s="57">
        <v>23</v>
      </c>
      <c r="E138" s="233" t="s">
        <v>1079</v>
      </c>
      <c r="F138" s="11" t="s">
        <v>1047</v>
      </c>
      <c r="G138" s="32">
        <f>+SUMIFS('2025 Lighting BDs'!C:C,'2025 Lighting BDs'!B:B,'E-13d'!A138)</f>
        <v>0</v>
      </c>
      <c r="H138" s="32">
        <v>18</v>
      </c>
      <c r="I138" s="150">
        <f t="shared" si="40"/>
        <v>0</v>
      </c>
      <c r="J138" s="33"/>
      <c r="K138" s="39">
        <f>+SUMIFS('2026 Lighting Rates'!B:B,'2026 Lighting Rates'!A:A,A138)</f>
        <v>16.59</v>
      </c>
      <c r="L138" s="39">
        <f>+SUMIFS('2026 Lighting Rates'!C:C,'2026 Lighting Rates'!A:A,A138)</f>
        <v>1.19</v>
      </c>
      <c r="M138" s="47">
        <f t="shared" si="41"/>
        <v>17.78</v>
      </c>
      <c r="N138" s="31">
        <f t="shared" si="42"/>
        <v>0</v>
      </c>
      <c r="O138" s="32"/>
      <c r="P138" s="47">
        <f t="shared" si="43"/>
        <v>16.59</v>
      </c>
      <c r="Q138" s="47">
        <f t="shared" si="44"/>
        <v>1.19</v>
      </c>
      <c r="R138" s="47">
        <f t="shared" si="45"/>
        <v>17.78</v>
      </c>
      <c r="S138" s="161">
        <f t="shared" si="46"/>
        <v>0</v>
      </c>
      <c r="T138" s="183">
        <f t="shared" si="47"/>
        <v>0</v>
      </c>
    </row>
    <row r="139" spans="1:20" ht="17.100000000000001" customHeight="1" x14ac:dyDescent="0.25">
      <c r="A139" s="148">
        <v>841</v>
      </c>
      <c r="B139" s="148"/>
      <c r="D139" s="57">
        <v>24</v>
      </c>
      <c r="E139" s="233" t="s">
        <v>1080</v>
      </c>
      <c r="F139" s="11" t="s">
        <v>1049</v>
      </c>
      <c r="G139" s="32">
        <f>+SUMIFS('2025 Lighting BDs'!C:C,'2025 Lighting BDs'!B:B,'E-13d'!A139)</f>
        <v>47</v>
      </c>
      <c r="H139" s="32">
        <v>19</v>
      </c>
      <c r="I139" s="32">
        <f t="shared" si="40"/>
        <v>893</v>
      </c>
      <c r="J139" s="33"/>
      <c r="K139" s="39">
        <f>+SUMIFS('2026 Lighting Rates'!B:B,'2026 Lighting Rates'!A:A,A139)</f>
        <v>16.59</v>
      </c>
      <c r="L139" s="39">
        <f>+SUMIFS('2026 Lighting Rates'!C:C,'2026 Lighting Rates'!A:A,A139)</f>
        <v>1.2</v>
      </c>
      <c r="M139" s="47">
        <f t="shared" si="41"/>
        <v>17.79</v>
      </c>
      <c r="N139" s="31">
        <f t="shared" si="42"/>
        <v>836.13</v>
      </c>
      <c r="O139" s="32"/>
      <c r="P139" s="47">
        <f t="shared" si="43"/>
        <v>16.59</v>
      </c>
      <c r="Q139" s="47">
        <f t="shared" si="44"/>
        <v>1.2</v>
      </c>
      <c r="R139" s="47">
        <f t="shared" si="45"/>
        <v>17.79</v>
      </c>
      <c r="S139" s="161">
        <f t="shared" si="46"/>
        <v>836.13</v>
      </c>
      <c r="T139" s="183">
        <f t="shared" si="47"/>
        <v>0</v>
      </c>
    </row>
    <row r="140" spans="1:20" ht="17.100000000000001" customHeight="1" x14ac:dyDescent="0.25">
      <c r="A140" s="148">
        <v>849</v>
      </c>
      <c r="B140" s="148"/>
      <c r="D140" s="57">
        <v>25</v>
      </c>
      <c r="E140" s="233" t="s">
        <v>1081</v>
      </c>
      <c r="F140" s="11" t="s">
        <v>1051</v>
      </c>
      <c r="G140" s="32">
        <f>+SUMIFS('2025 Lighting BDs'!C:C,'2025 Lighting BDs'!B:B,'E-13d'!A140)</f>
        <v>0</v>
      </c>
      <c r="H140" s="32">
        <v>27</v>
      </c>
      <c r="I140" s="150">
        <f t="shared" si="40"/>
        <v>0</v>
      </c>
      <c r="J140" s="33"/>
      <c r="K140" s="39">
        <f>+SUMIFS('2026 Lighting Rates'!B:B,'2026 Lighting Rates'!A:A,A140)</f>
        <v>16.53</v>
      </c>
      <c r="L140" s="39">
        <f>+SUMIFS('2026 Lighting Rates'!C:C,'2026 Lighting Rates'!A:A,A140)</f>
        <v>2.2599999999999998</v>
      </c>
      <c r="M140" s="47">
        <f t="shared" si="41"/>
        <v>18.79</v>
      </c>
      <c r="N140" s="31">
        <f t="shared" si="42"/>
        <v>0</v>
      </c>
      <c r="O140" s="32"/>
      <c r="P140" s="47">
        <f t="shared" si="43"/>
        <v>16.53</v>
      </c>
      <c r="Q140" s="47">
        <f t="shared" si="44"/>
        <v>2.2599999999999998</v>
      </c>
      <c r="R140" s="47">
        <f t="shared" si="45"/>
        <v>18.79</v>
      </c>
      <c r="S140" s="161">
        <f t="shared" si="46"/>
        <v>0</v>
      </c>
      <c r="T140" s="183">
        <f t="shared" si="47"/>
        <v>0</v>
      </c>
    </row>
    <row r="141" spans="1:20" ht="17.100000000000001" customHeight="1" x14ac:dyDescent="0.25">
      <c r="A141" s="148">
        <v>842</v>
      </c>
      <c r="B141" s="148"/>
      <c r="D141" s="57">
        <v>26</v>
      </c>
      <c r="E141" s="233" t="s">
        <v>1082</v>
      </c>
      <c r="F141" s="11" t="s">
        <v>1053</v>
      </c>
      <c r="G141" s="32">
        <f>+SUMIFS('2025 Lighting BDs'!C:C,'2025 Lighting BDs'!B:B,'E-13d'!A141)</f>
        <v>0</v>
      </c>
      <c r="H141" s="32">
        <v>34</v>
      </c>
      <c r="I141" s="150">
        <f t="shared" si="40"/>
        <v>0</v>
      </c>
      <c r="J141" s="8"/>
      <c r="K141" s="39">
        <f>+SUMIFS('2026 Lighting Rates'!B:B,'2026 Lighting Rates'!A:A,A141)</f>
        <v>20.97</v>
      </c>
      <c r="L141" s="39">
        <f>+SUMIFS('2026 Lighting Rates'!C:C,'2026 Lighting Rates'!A:A,A141)</f>
        <v>1.26</v>
      </c>
      <c r="M141" s="47">
        <f t="shared" si="41"/>
        <v>22.23</v>
      </c>
      <c r="N141" s="31">
        <f t="shared" si="42"/>
        <v>0</v>
      </c>
      <c r="O141" s="8"/>
      <c r="P141" s="47">
        <f t="shared" si="43"/>
        <v>20.97</v>
      </c>
      <c r="Q141" s="47">
        <f t="shared" si="44"/>
        <v>1.26</v>
      </c>
      <c r="R141" s="47">
        <f t="shared" si="45"/>
        <v>22.23</v>
      </c>
      <c r="S141" s="161">
        <f t="shared" si="46"/>
        <v>0</v>
      </c>
      <c r="T141" s="183">
        <f t="shared" si="47"/>
        <v>0</v>
      </c>
    </row>
    <row r="142" spans="1:20" ht="17.100000000000001" customHeight="1" x14ac:dyDescent="0.25">
      <c r="A142" s="148">
        <v>843</v>
      </c>
      <c r="B142" s="148"/>
      <c r="D142" s="57">
        <v>27</v>
      </c>
      <c r="E142" s="233" t="s">
        <v>1083</v>
      </c>
      <c r="F142" s="11" t="s">
        <v>1055</v>
      </c>
      <c r="G142" s="32">
        <f>+SUMIFS('2025 Lighting BDs'!C:C,'2025 Lighting BDs'!B:B,'E-13d'!A142)</f>
        <v>0</v>
      </c>
      <c r="H142" s="32">
        <v>36</v>
      </c>
      <c r="I142" s="150">
        <f t="shared" si="40"/>
        <v>0</v>
      </c>
      <c r="J142" s="32"/>
      <c r="K142" s="39">
        <f>+SUMIFS('2026 Lighting Rates'!B:B,'2026 Lighting Rates'!A:A,A142)</f>
        <v>24.17</v>
      </c>
      <c r="L142" s="39">
        <f>+SUMIFS('2026 Lighting Rates'!C:C,'2026 Lighting Rates'!A:A,A142)</f>
        <v>1.38</v>
      </c>
      <c r="M142" s="47">
        <f t="shared" si="41"/>
        <v>25.55</v>
      </c>
      <c r="N142" s="31">
        <f t="shared" si="42"/>
        <v>0</v>
      </c>
      <c r="O142" s="32"/>
      <c r="P142" s="47">
        <f t="shared" si="43"/>
        <v>24.17</v>
      </c>
      <c r="Q142" s="47">
        <f t="shared" si="44"/>
        <v>1.38</v>
      </c>
      <c r="R142" s="47">
        <f t="shared" si="45"/>
        <v>25.55</v>
      </c>
      <c r="S142" s="161">
        <f t="shared" si="46"/>
        <v>0</v>
      </c>
      <c r="T142" s="183">
        <f t="shared" si="47"/>
        <v>0</v>
      </c>
    </row>
    <row r="143" spans="1:20" ht="17.100000000000001" customHeight="1" x14ac:dyDescent="0.25">
      <c r="A143" s="148">
        <v>855</v>
      </c>
      <c r="B143" s="148"/>
      <c r="D143" s="57">
        <v>28</v>
      </c>
      <c r="E143" s="233" t="s">
        <v>1084</v>
      </c>
      <c r="F143" s="11" t="s">
        <v>1057</v>
      </c>
      <c r="G143" s="32">
        <f>+SUMIFS('2025 Lighting BDs'!C:C,'2025 Lighting BDs'!B:B,'E-13d'!A143)</f>
        <v>0</v>
      </c>
      <c r="H143" s="32">
        <v>11</v>
      </c>
      <c r="I143" s="150">
        <f t="shared" si="40"/>
        <v>0</v>
      </c>
      <c r="J143" s="32"/>
      <c r="K143" s="39">
        <f>+SUMIFS('2026 Lighting Rates'!B:B,'2026 Lighting Rates'!A:A,A143)</f>
        <v>23.77</v>
      </c>
      <c r="L143" s="39">
        <f>+SUMIFS('2026 Lighting Rates'!C:C,'2026 Lighting Rates'!A:A,A143)</f>
        <v>2.2799999999999998</v>
      </c>
      <c r="M143" s="47">
        <f t="shared" si="41"/>
        <v>26.05</v>
      </c>
      <c r="N143" s="31">
        <f t="shared" si="42"/>
        <v>0</v>
      </c>
      <c r="O143" s="32"/>
      <c r="P143" s="47">
        <f t="shared" si="43"/>
        <v>23.77</v>
      </c>
      <c r="Q143" s="47">
        <f t="shared" si="44"/>
        <v>2.2799999999999998</v>
      </c>
      <c r="R143" s="47">
        <f t="shared" si="45"/>
        <v>26.05</v>
      </c>
      <c r="S143" s="161">
        <f t="shared" si="46"/>
        <v>0</v>
      </c>
      <c r="T143" s="183">
        <f t="shared" si="47"/>
        <v>0</v>
      </c>
    </row>
    <row r="144" spans="1:20" ht="17.100000000000001" customHeight="1" x14ac:dyDescent="0.25">
      <c r="A144" s="148">
        <v>844</v>
      </c>
      <c r="B144" s="148"/>
      <c r="D144" s="57">
        <v>29</v>
      </c>
      <c r="E144" s="233" t="s">
        <v>1085</v>
      </c>
      <c r="F144" s="11" t="s">
        <v>1059</v>
      </c>
      <c r="G144" s="32">
        <f>+SUMIFS('2025 Lighting BDs'!C:C,'2025 Lighting BDs'!B:B,'E-13d'!A144)</f>
        <v>47</v>
      </c>
      <c r="H144" s="32">
        <v>12</v>
      </c>
      <c r="I144" s="32">
        <f t="shared" si="40"/>
        <v>564</v>
      </c>
      <c r="J144" s="32"/>
      <c r="K144" s="39">
        <f>+SUMIFS('2026 Lighting Rates'!B:B,'2026 Lighting Rates'!A:A,A144)</f>
        <v>28.02</v>
      </c>
      <c r="L144" s="39">
        <f>+SUMIFS('2026 Lighting Rates'!C:C,'2026 Lighting Rates'!A:A,A144)</f>
        <v>1.54</v>
      </c>
      <c r="M144" s="47">
        <f t="shared" si="41"/>
        <v>29.56</v>
      </c>
      <c r="N144" s="31">
        <f t="shared" si="42"/>
        <v>1389.32</v>
      </c>
      <c r="O144" s="32"/>
      <c r="P144" s="47">
        <f t="shared" si="43"/>
        <v>28.02</v>
      </c>
      <c r="Q144" s="47">
        <f t="shared" si="44"/>
        <v>1.54</v>
      </c>
      <c r="R144" s="47">
        <f t="shared" si="45"/>
        <v>29.56</v>
      </c>
      <c r="S144" s="161">
        <f t="shared" si="46"/>
        <v>1389.32</v>
      </c>
      <c r="T144" s="183">
        <f t="shared" si="47"/>
        <v>0</v>
      </c>
    </row>
    <row r="145" spans="1:20" ht="17.100000000000001" customHeight="1" x14ac:dyDescent="0.25">
      <c r="A145" s="148">
        <v>845</v>
      </c>
      <c r="B145" s="148"/>
      <c r="D145" s="57">
        <v>30</v>
      </c>
      <c r="E145" s="233" t="s">
        <v>1086</v>
      </c>
      <c r="F145" s="11" t="s">
        <v>1061</v>
      </c>
      <c r="G145" s="32">
        <f>+SUMIFS('2025 Lighting BDs'!C:C,'2025 Lighting BDs'!B:B,'E-13d'!A145)</f>
        <v>0</v>
      </c>
      <c r="H145" s="32">
        <v>17</v>
      </c>
      <c r="I145" s="150">
        <f t="shared" si="40"/>
        <v>0</v>
      </c>
      <c r="J145" s="32"/>
      <c r="K145" s="39">
        <f>+SUMIFS('2026 Lighting Rates'!B:B,'2026 Lighting Rates'!A:A,A145)</f>
        <v>29.51</v>
      </c>
      <c r="L145" s="39">
        <f>+SUMIFS('2026 Lighting Rates'!C:C,'2026 Lighting Rates'!A:A,A145)</f>
        <v>1.56</v>
      </c>
      <c r="M145" s="47">
        <f t="shared" si="41"/>
        <v>31.07</v>
      </c>
      <c r="N145" s="31">
        <f t="shared" si="42"/>
        <v>0</v>
      </c>
      <c r="O145" s="32"/>
      <c r="P145" s="47">
        <f t="shared" si="43"/>
        <v>29.51</v>
      </c>
      <c r="Q145" s="47">
        <f t="shared" si="44"/>
        <v>1.56</v>
      </c>
      <c r="R145" s="47">
        <f t="shared" si="45"/>
        <v>31.07</v>
      </c>
      <c r="S145" s="161">
        <f t="shared" si="46"/>
        <v>0</v>
      </c>
      <c r="T145" s="183">
        <f t="shared" si="47"/>
        <v>0</v>
      </c>
    </row>
    <row r="146" spans="1:20" ht="17.100000000000001" customHeight="1" x14ac:dyDescent="0.25">
      <c r="A146" s="148">
        <v>856</v>
      </c>
      <c r="B146" s="148"/>
      <c r="D146" s="57">
        <v>31</v>
      </c>
      <c r="E146" s="233" t="s">
        <v>1087</v>
      </c>
      <c r="F146" s="11" t="s">
        <v>964</v>
      </c>
      <c r="G146" s="32">
        <f>+SUMIFS('2025 Lighting BDs'!C:C,'2025 Lighting BDs'!B:B,'E-13d'!A146)</f>
        <v>0</v>
      </c>
      <c r="H146" s="32">
        <v>18</v>
      </c>
      <c r="I146" s="150">
        <f t="shared" si="40"/>
        <v>0</v>
      </c>
      <c r="J146" s="32"/>
      <c r="K146" s="39">
        <f>+SUMIFS('2026 Lighting Rates'!B:B,'2026 Lighting Rates'!A:A,A146)</f>
        <v>24.02</v>
      </c>
      <c r="L146" s="39">
        <f>+SUMIFS('2026 Lighting Rates'!C:C,'2026 Lighting Rates'!A:A,A146)</f>
        <v>2.2799999999999998</v>
      </c>
      <c r="M146" s="47">
        <f t="shared" si="41"/>
        <v>26.3</v>
      </c>
      <c r="N146" s="31">
        <f t="shared" si="42"/>
        <v>0</v>
      </c>
      <c r="O146" s="32"/>
      <c r="P146" s="47">
        <f t="shared" si="43"/>
        <v>24.02</v>
      </c>
      <c r="Q146" s="47">
        <f t="shared" si="44"/>
        <v>2.2799999999999998</v>
      </c>
      <c r="R146" s="47">
        <f t="shared" si="45"/>
        <v>26.3</v>
      </c>
      <c r="S146" s="161">
        <f t="shared" si="46"/>
        <v>0</v>
      </c>
      <c r="T146" s="183">
        <f t="shared" si="47"/>
        <v>0</v>
      </c>
    </row>
    <row r="147" spans="1:20" ht="17.100000000000001" customHeight="1" x14ac:dyDescent="0.25">
      <c r="A147" s="148">
        <v>850</v>
      </c>
      <c r="B147" s="148"/>
      <c r="D147" s="57">
        <v>32</v>
      </c>
      <c r="E147" s="233" t="s">
        <v>1088</v>
      </c>
      <c r="F147" s="11" t="s">
        <v>1064</v>
      </c>
      <c r="G147" s="32">
        <f>+SUMIFS('2025 Lighting BDs'!C:C,'2025 Lighting BDs'!B:B,'E-13d'!A147)</f>
        <v>0</v>
      </c>
      <c r="H147" s="32">
        <v>27</v>
      </c>
      <c r="I147" s="150">
        <f t="shared" si="40"/>
        <v>0</v>
      </c>
      <c r="J147" s="32"/>
      <c r="K147" s="39">
        <f>+SUMIFS('2026 Lighting Rates'!B:B,'2026 Lighting Rates'!A:A,A147)</f>
        <v>21.37</v>
      </c>
      <c r="L147" s="39">
        <f>+SUMIFS('2026 Lighting Rates'!C:C,'2026 Lighting Rates'!A:A,A147)</f>
        <v>2.5099999999999998</v>
      </c>
      <c r="M147" s="47">
        <f t="shared" si="41"/>
        <v>23.880000000000003</v>
      </c>
      <c r="N147" s="31">
        <f t="shared" si="42"/>
        <v>0</v>
      </c>
      <c r="O147" s="32"/>
      <c r="P147" s="47">
        <f t="shared" si="43"/>
        <v>21.37</v>
      </c>
      <c r="Q147" s="47">
        <f t="shared" si="44"/>
        <v>2.5099999999999998</v>
      </c>
      <c r="R147" s="47">
        <f t="shared" si="45"/>
        <v>23.880000000000003</v>
      </c>
      <c r="S147" s="161">
        <f t="shared" si="46"/>
        <v>0</v>
      </c>
      <c r="T147" s="183">
        <f t="shared" si="47"/>
        <v>0</v>
      </c>
    </row>
    <row r="148" spans="1:20" ht="17.100000000000001" customHeight="1" x14ac:dyDescent="0.25">
      <c r="A148" s="148">
        <v>846</v>
      </c>
      <c r="B148" s="148"/>
      <c r="D148" s="57">
        <v>33</v>
      </c>
      <c r="E148" s="233" t="s">
        <v>1089</v>
      </c>
      <c r="F148" s="11" t="s">
        <v>1066</v>
      </c>
      <c r="G148" s="32">
        <f>+SUMIFS('2025 Lighting BDs'!C:C,'2025 Lighting BDs'!B:B,'E-13d'!A148)</f>
        <v>154</v>
      </c>
      <c r="H148" s="32">
        <v>35</v>
      </c>
      <c r="I148" s="32">
        <f t="shared" si="40"/>
        <v>5390</v>
      </c>
      <c r="J148" s="32"/>
      <c r="K148" s="39">
        <f>+SUMIFS('2026 Lighting Rates'!B:B,'2026 Lighting Rates'!A:A,A148)</f>
        <v>27.49</v>
      </c>
      <c r="L148" s="39">
        <f>+SUMIFS('2026 Lighting Rates'!C:C,'2026 Lighting Rates'!A:A,A148)</f>
        <v>1.41</v>
      </c>
      <c r="M148" s="47">
        <f t="shared" si="41"/>
        <v>28.9</v>
      </c>
      <c r="N148" s="31">
        <f t="shared" si="42"/>
        <v>4450.5999999999995</v>
      </c>
      <c r="O148" s="32"/>
      <c r="P148" s="47">
        <f t="shared" si="43"/>
        <v>27.49</v>
      </c>
      <c r="Q148" s="47">
        <f t="shared" si="44"/>
        <v>1.41</v>
      </c>
      <c r="R148" s="47">
        <f t="shared" si="45"/>
        <v>28.9</v>
      </c>
      <c r="S148" s="161">
        <f t="shared" si="46"/>
        <v>4450.5999999999995</v>
      </c>
      <c r="T148" s="183">
        <f t="shared" si="47"/>
        <v>0</v>
      </c>
    </row>
    <row r="149" spans="1:20" ht="17.100000000000001" customHeight="1" x14ac:dyDescent="0.25">
      <c r="A149" s="148">
        <v>847</v>
      </c>
      <c r="B149" s="148"/>
      <c r="D149" s="57">
        <v>34</v>
      </c>
      <c r="E149" s="233" t="s">
        <v>1090</v>
      </c>
      <c r="F149" s="11" t="s">
        <v>1068</v>
      </c>
      <c r="G149" s="32">
        <f>+SUMIFS('2025 Lighting BDs'!C:C,'2025 Lighting BDs'!B:B,'E-13d'!A149)</f>
        <v>12</v>
      </c>
      <c r="H149" s="32">
        <v>54</v>
      </c>
      <c r="I149" s="32">
        <f t="shared" si="40"/>
        <v>648</v>
      </c>
      <c r="J149" s="32"/>
      <c r="K149" s="39">
        <f>+SUMIFS('2026 Lighting Rates'!B:B,'2026 Lighting Rates'!A:A,A149)</f>
        <v>29.65</v>
      </c>
      <c r="L149" s="39">
        <f>+SUMIFS('2026 Lighting Rates'!C:C,'2026 Lighting Rates'!A:A,A149)</f>
        <v>1.55</v>
      </c>
      <c r="M149" s="47">
        <f t="shared" si="41"/>
        <v>31.2</v>
      </c>
      <c r="N149" s="31">
        <f t="shared" si="42"/>
        <v>374.4</v>
      </c>
      <c r="O149" s="32"/>
      <c r="P149" s="47">
        <f t="shared" si="43"/>
        <v>29.65</v>
      </c>
      <c r="Q149" s="47">
        <f t="shared" si="44"/>
        <v>1.55</v>
      </c>
      <c r="R149" s="47">
        <f t="shared" si="45"/>
        <v>31.2</v>
      </c>
      <c r="S149" s="161">
        <f t="shared" si="46"/>
        <v>374.4</v>
      </c>
      <c r="T149" s="183">
        <f t="shared" si="47"/>
        <v>0</v>
      </c>
    </row>
    <row r="150" spans="1:20" ht="17.100000000000001" customHeight="1" x14ac:dyDescent="0.25">
      <c r="A150" s="148">
        <v>851</v>
      </c>
      <c r="B150" s="148"/>
      <c r="D150" s="57">
        <v>35</v>
      </c>
      <c r="E150" s="233" t="s">
        <v>1091</v>
      </c>
      <c r="F150" s="11" t="s">
        <v>1070</v>
      </c>
      <c r="G150" s="32">
        <f>+SUMIFS('2025 Lighting BDs'!C:C,'2025 Lighting BDs'!B:B,'E-13d'!A150)</f>
        <v>0</v>
      </c>
      <c r="H150" s="32">
        <v>42</v>
      </c>
      <c r="I150" s="150">
        <f t="shared" si="40"/>
        <v>0</v>
      </c>
      <c r="J150" s="32"/>
      <c r="K150" s="39">
        <f>+SUMIFS('2026 Lighting Rates'!B:B,'2026 Lighting Rates'!A:A,A150)</f>
        <v>22.88</v>
      </c>
      <c r="L150" s="39">
        <f>+SUMIFS('2026 Lighting Rates'!C:C,'2026 Lighting Rates'!A:A,A150)</f>
        <v>3.45</v>
      </c>
      <c r="M150" s="47">
        <f t="shared" si="41"/>
        <v>26.33</v>
      </c>
      <c r="N150" s="31">
        <f t="shared" si="42"/>
        <v>0</v>
      </c>
      <c r="O150" s="32"/>
      <c r="P150" s="47">
        <f t="shared" si="43"/>
        <v>22.88</v>
      </c>
      <c r="Q150" s="47">
        <f t="shared" si="44"/>
        <v>3.45</v>
      </c>
      <c r="R150" s="47">
        <f t="shared" si="45"/>
        <v>26.33</v>
      </c>
      <c r="S150" s="161">
        <f t="shared" si="46"/>
        <v>0</v>
      </c>
      <c r="T150" s="183">
        <f t="shared" si="47"/>
        <v>0</v>
      </c>
    </row>
    <row r="151" spans="1:20" ht="17.100000000000001" customHeight="1" x14ac:dyDescent="0.25">
      <c r="A151" s="148">
        <v>852</v>
      </c>
      <c r="B151" s="148"/>
      <c r="D151" s="57">
        <v>36</v>
      </c>
      <c r="E151" s="233" t="s">
        <v>1092</v>
      </c>
      <c r="F151" s="11" t="s">
        <v>1072</v>
      </c>
      <c r="G151" s="32">
        <f>+SUMIFS('2025 Lighting BDs'!C:C,'2025 Lighting BDs'!B:B,'E-13d'!A151)</f>
        <v>0</v>
      </c>
      <c r="H151" s="32">
        <v>63</v>
      </c>
      <c r="I151" s="150">
        <f t="shared" si="40"/>
        <v>0</v>
      </c>
      <c r="J151" s="32"/>
      <c r="K151" s="39">
        <f>+SUMIFS('2026 Lighting Rates'!B:B,'2026 Lighting Rates'!A:A,A151)</f>
        <v>27.56</v>
      </c>
      <c r="L151" s="39">
        <f>+SUMIFS('2026 Lighting Rates'!C:C,'2026 Lighting Rates'!A:A,A151)</f>
        <v>4.0999999999999996</v>
      </c>
      <c r="M151" s="47">
        <f t="shared" si="41"/>
        <v>31.659999999999997</v>
      </c>
      <c r="N151" s="31">
        <f t="shared" si="42"/>
        <v>0</v>
      </c>
      <c r="O151" s="32"/>
      <c r="P151" s="47">
        <f t="shared" si="43"/>
        <v>27.56</v>
      </c>
      <c r="Q151" s="47">
        <f t="shared" si="44"/>
        <v>4.0999999999999996</v>
      </c>
      <c r="R151" s="47">
        <f t="shared" si="45"/>
        <v>31.659999999999997</v>
      </c>
      <c r="S151" s="161">
        <f t="shared" si="46"/>
        <v>0</v>
      </c>
      <c r="T151" s="183">
        <f t="shared" si="47"/>
        <v>0</v>
      </c>
    </row>
    <row r="152" spans="1:20" ht="17.100000000000001" customHeight="1" x14ac:dyDescent="0.25">
      <c r="A152" s="148">
        <v>853</v>
      </c>
      <c r="B152" s="148"/>
      <c r="D152" s="57">
        <v>37</v>
      </c>
      <c r="E152" s="233" t="s">
        <v>1093</v>
      </c>
      <c r="F152" s="11" t="s">
        <v>1074</v>
      </c>
      <c r="G152" s="32">
        <f>+SUMIFS('2025 Lighting BDs'!C:C,'2025 Lighting BDs'!B:B,'E-13d'!A152)</f>
        <v>0</v>
      </c>
      <c r="H152" s="32">
        <v>43</v>
      </c>
      <c r="I152" s="150">
        <f t="shared" si="40"/>
        <v>0</v>
      </c>
      <c r="J152" s="32"/>
      <c r="K152" s="39">
        <f>+SUMIFS('2026 Lighting Rates'!B:B,'2026 Lighting Rates'!A:A,A152)</f>
        <v>21.16</v>
      </c>
      <c r="L152" s="39">
        <f>+SUMIFS('2026 Lighting Rates'!C:C,'2026 Lighting Rates'!A:A,A152)</f>
        <v>3.04</v>
      </c>
      <c r="M152" s="47">
        <f t="shared" si="41"/>
        <v>24.2</v>
      </c>
      <c r="N152" s="31">
        <f t="shared" si="42"/>
        <v>0</v>
      </c>
      <c r="O152" s="32"/>
      <c r="P152" s="47">
        <f t="shared" si="43"/>
        <v>21.16</v>
      </c>
      <c r="Q152" s="47">
        <f t="shared" si="44"/>
        <v>3.04</v>
      </c>
      <c r="R152" s="47">
        <f t="shared" si="45"/>
        <v>24.2</v>
      </c>
      <c r="S152" s="161">
        <f t="shared" si="46"/>
        <v>0</v>
      </c>
      <c r="T152" s="183">
        <f t="shared" si="47"/>
        <v>0</v>
      </c>
    </row>
    <row r="153" spans="1:20" ht="17.100000000000001" customHeight="1" x14ac:dyDescent="0.25">
      <c r="A153" s="148">
        <v>854</v>
      </c>
      <c r="B153" s="148"/>
      <c r="D153" s="57">
        <v>38</v>
      </c>
      <c r="E153" s="233" t="s">
        <v>1094</v>
      </c>
      <c r="F153" s="11" t="s">
        <v>1076</v>
      </c>
      <c r="G153" s="32">
        <f>+SUMIFS('2025 Lighting BDs'!C:C,'2025 Lighting BDs'!B:B,'E-13d'!A153)</f>
        <v>0</v>
      </c>
      <c r="H153" s="32">
        <v>57</v>
      </c>
      <c r="I153" s="150">
        <f t="shared" si="40"/>
        <v>0</v>
      </c>
      <c r="J153" s="32"/>
      <c r="K153" s="39">
        <f>+SUMIFS('2026 Lighting Rates'!B:B,'2026 Lighting Rates'!A:A,A153)</f>
        <v>23.47</v>
      </c>
      <c r="L153" s="39">
        <f>+SUMIFS('2026 Lighting Rates'!C:C,'2026 Lighting Rates'!A:A,A153)</f>
        <v>3.6</v>
      </c>
      <c r="M153" s="235">
        <f t="shared" ref="M153" si="48">M134</f>
        <v>27.07</v>
      </c>
      <c r="N153" s="31">
        <f t="shared" si="42"/>
        <v>0</v>
      </c>
      <c r="O153" s="32"/>
      <c r="P153" s="47">
        <f t="shared" si="43"/>
        <v>23.47</v>
      </c>
      <c r="Q153" s="47">
        <f t="shared" si="44"/>
        <v>3.6</v>
      </c>
      <c r="R153" s="47">
        <f t="shared" si="45"/>
        <v>27.07</v>
      </c>
      <c r="S153" s="161">
        <f t="shared" si="46"/>
        <v>0</v>
      </c>
      <c r="T153" s="183">
        <f t="shared" si="47"/>
        <v>0</v>
      </c>
    </row>
    <row r="154" spans="1:20" ht="17.100000000000001" customHeight="1" x14ac:dyDescent="0.25">
      <c r="A154" s="148"/>
      <c r="B154" s="148"/>
      <c r="D154" s="57">
        <v>39</v>
      </c>
      <c r="E154" s="233"/>
      <c r="F154" s="11"/>
      <c r="G154" s="236"/>
      <c r="H154" s="32"/>
      <c r="I154" s="150"/>
      <c r="J154" s="32"/>
      <c r="K154" s="39"/>
      <c r="L154" s="39"/>
      <c r="M154" s="235"/>
      <c r="N154" s="198">
        <f>SUM(N137:N153)</f>
        <v>7203.6899999999987</v>
      </c>
      <c r="O154" s="32"/>
      <c r="P154" s="47"/>
      <c r="Q154" s="47"/>
      <c r="R154" s="47"/>
      <c r="S154" s="198">
        <f>SUM(S137:S153)</f>
        <v>7203.6899999999987</v>
      </c>
      <c r="T154" s="183">
        <f t="shared" si="47"/>
        <v>0</v>
      </c>
    </row>
    <row r="155" spans="1:20" ht="17.100000000000001" customHeight="1" thickBot="1" x14ac:dyDescent="0.3">
      <c r="A155" s="148"/>
      <c r="B155" s="148"/>
      <c r="D155" s="58">
        <v>40</v>
      </c>
      <c r="E155" s="237"/>
      <c r="F155" s="13"/>
      <c r="G155" s="238"/>
      <c r="H155" s="144"/>
      <c r="I155" s="239"/>
      <c r="J155" s="144"/>
      <c r="K155" s="240"/>
      <c r="L155" s="240"/>
      <c r="M155" s="241"/>
      <c r="N155" s="222"/>
      <c r="O155" s="144"/>
      <c r="P155" s="240"/>
      <c r="Q155" s="240"/>
      <c r="R155" s="240"/>
      <c r="S155" s="222"/>
      <c r="T155" s="13" t="s">
        <v>1095</v>
      </c>
    </row>
    <row r="156" spans="1:20" ht="17.100000000000001" customHeight="1" x14ac:dyDescent="0.25">
      <c r="A156" s="148"/>
      <c r="B156" s="148"/>
      <c r="D156" s="8" t="s">
        <v>1002</v>
      </c>
      <c r="E156" s="8"/>
      <c r="F156" s="8"/>
      <c r="G156" s="8"/>
      <c r="H156" s="8"/>
      <c r="I156" s="8"/>
      <c r="J156" s="8"/>
      <c r="K156" s="8"/>
      <c r="L156" s="8"/>
      <c r="M156" s="8"/>
      <c r="N156" s="198"/>
      <c r="O156" s="31"/>
      <c r="P156" s="8"/>
      <c r="Q156" s="8"/>
      <c r="R156" s="8" t="s">
        <v>1003</v>
      </c>
      <c r="S156" s="198"/>
      <c r="T156" s="11"/>
    </row>
    <row r="157" spans="1:20" ht="17.100000000000001" customHeight="1" thickBot="1" x14ac:dyDescent="0.3">
      <c r="A157" s="148"/>
      <c r="B157" s="148"/>
      <c r="D157" s="9" t="s">
        <v>942</v>
      </c>
      <c r="E157" s="9"/>
      <c r="F157" s="9"/>
      <c r="G157" s="9"/>
      <c r="H157" s="9"/>
      <c r="I157" s="9" t="s">
        <v>943</v>
      </c>
      <c r="J157" s="9"/>
      <c r="K157" s="9"/>
      <c r="L157" s="9"/>
      <c r="M157" s="9"/>
      <c r="N157" s="9"/>
      <c r="O157" s="154"/>
      <c r="P157" s="222"/>
      <c r="Q157" s="9"/>
      <c r="R157" s="9"/>
      <c r="S157" s="9"/>
      <c r="T157" s="9" t="s">
        <v>1096</v>
      </c>
    </row>
    <row r="158" spans="1:20" ht="17.100000000000001" customHeight="1" x14ac:dyDescent="0.25">
      <c r="A158" s="148"/>
      <c r="B158" s="148"/>
      <c r="D158" s="8" t="s">
        <v>307</v>
      </c>
      <c r="E158" s="8"/>
      <c r="F158" s="8"/>
      <c r="G158" s="11"/>
      <c r="H158" s="8"/>
      <c r="I158" s="11" t="s">
        <v>1005</v>
      </c>
      <c r="J158" s="8" t="s">
        <v>1228</v>
      </c>
      <c r="K158" s="8"/>
      <c r="L158" s="99"/>
      <c r="M158" s="99"/>
      <c r="N158" s="8"/>
      <c r="O158" s="8"/>
      <c r="P158" s="99"/>
      <c r="Q158" s="99" t="s">
        <v>309</v>
      </c>
      <c r="R158" s="8"/>
      <c r="S158" s="8"/>
      <c r="T158" s="10"/>
    </row>
    <row r="159" spans="1:20" ht="17.100000000000001" customHeight="1" x14ac:dyDescent="0.25">
      <c r="A159" s="148"/>
      <c r="B159" s="148"/>
      <c r="D159" s="8"/>
      <c r="E159" s="8"/>
      <c r="F159" s="8"/>
      <c r="G159" s="8"/>
      <c r="H159" s="8"/>
      <c r="I159" s="8"/>
      <c r="J159" s="8" t="s">
        <v>1229</v>
      </c>
      <c r="K159" s="8"/>
      <c r="L159" s="11"/>
      <c r="M159" s="10"/>
      <c r="N159" s="8"/>
      <c r="O159" s="8"/>
      <c r="P159" s="8"/>
      <c r="Q159" s="224"/>
      <c r="R159" s="117" t="s">
        <v>916</v>
      </c>
      <c r="S159" s="116" t="s">
        <v>1512</v>
      </c>
      <c r="T159" s="11"/>
    </row>
    <row r="160" spans="1:20" ht="17.100000000000001" customHeight="1" x14ac:dyDescent="0.25">
      <c r="A160" s="148"/>
      <c r="B160" s="148"/>
      <c r="D160" s="8" t="s">
        <v>310</v>
      </c>
      <c r="E160" s="8"/>
      <c r="F160" s="8"/>
      <c r="G160" s="8"/>
      <c r="H160" s="8"/>
      <c r="I160" s="8"/>
      <c r="J160" s="8" t="s">
        <v>1230</v>
      </c>
      <c r="K160" s="8"/>
      <c r="L160" s="11"/>
      <c r="M160" s="10"/>
      <c r="N160" s="11"/>
      <c r="O160" s="11"/>
      <c r="P160" s="8"/>
      <c r="Q160" s="11"/>
      <c r="R160" s="265"/>
      <c r="S160" s="116"/>
      <c r="T160" s="11"/>
    </row>
    <row r="161" spans="1:20" ht="17.100000000000001" customHeight="1" x14ac:dyDescent="0.25">
      <c r="A161" s="148"/>
      <c r="B161" s="148"/>
      <c r="D161" s="8"/>
      <c r="E161" s="8"/>
      <c r="F161" s="8"/>
      <c r="G161" s="8"/>
      <c r="H161" s="8"/>
      <c r="I161" s="8"/>
      <c r="J161" s="8" t="s">
        <v>1231</v>
      </c>
      <c r="K161" s="8"/>
      <c r="L161" s="11"/>
      <c r="M161" s="10"/>
      <c r="N161" s="11"/>
      <c r="O161" s="11"/>
      <c r="P161" s="8"/>
      <c r="Q161" s="11"/>
      <c r="R161" s="265"/>
      <c r="S161" s="116"/>
      <c r="T161" s="11"/>
    </row>
    <row r="162" spans="1:20" ht="17.100000000000001" customHeight="1" thickBot="1" x14ac:dyDescent="0.3">
      <c r="A162" s="148"/>
      <c r="B162" s="148"/>
      <c r="D162" s="9" t="str">
        <f>+$D$6</f>
        <v>DOCKET No. 20240026-EI</v>
      </c>
      <c r="E162" s="9"/>
      <c r="F162" s="9"/>
      <c r="G162" s="9"/>
      <c r="H162" s="9" t="s">
        <v>1097</v>
      </c>
      <c r="I162" s="9"/>
      <c r="J162" s="9"/>
      <c r="K162" s="58"/>
      <c r="L162" s="9"/>
      <c r="M162" s="9"/>
      <c r="N162" s="9"/>
      <c r="O162" s="9"/>
      <c r="P162" s="9"/>
      <c r="Q162" s="9"/>
      <c r="R162" s="264"/>
      <c r="S162" s="114" t="s">
        <v>1519</v>
      </c>
      <c r="T162" s="9"/>
    </row>
    <row r="163" spans="1:20" ht="17.100000000000001" customHeight="1" x14ac:dyDescent="0.25">
      <c r="A163" s="148"/>
      <c r="B163" s="148"/>
      <c r="D163" s="225"/>
      <c r="E163" s="383" t="s">
        <v>946</v>
      </c>
      <c r="F163" s="383"/>
      <c r="G163" s="383"/>
      <c r="H163" s="383"/>
      <c r="I163" s="383"/>
      <c r="J163" s="383"/>
      <c r="K163" s="383"/>
      <c r="L163" s="383"/>
      <c r="M163" s="383"/>
      <c r="N163" s="383"/>
      <c r="O163" s="383"/>
      <c r="P163" s="383"/>
      <c r="Q163" s="383"/>
      <c r="R163" s="383"/>
      <c r="S163" s="383"/>
      <c r="T163" s="383"/>
    </row>
    <row r="164" spans="1:20" ht="17.100000000000001" customHeight="1" x14ac:dyDescent="0.25">
      <c r="A164" s="148"/>
      <c r="B164" s="148"/>
      <c r="D164" s="8"/>
      <c r="E164" s="57"/>
      <c r="F164" s="12"/>
      <c r="G164" s="12"/>
      <c r="H164" s="12"/>
      <c r="I164" s="12"/>
      <c r="J164" s="12"/>
      <c r="K164" s="384" t="s">
        <v>947</v>
      </c>
      <c r="L164" s="384"/>
      <c r="M164" s="384"/>
      <c r="N164" s="384"/>
      <c r="O164" s="12"/>
      <c r="P164" s="384" t="s">
        <v>871</v>
      </c>
      <c r="Q164" s="384"/>
      <c r="R164" s="384"/>
      <c r="S164" s="384"/>
      <c r="T164" s="12"/>
    </row>
    <row r="165" spans="1:20" ht="17.100000000000001" customHeight="1" x14ac:dyDescent="0.25">
      <c r="A165" s="148"/>
      <c r="B165" s="148"/>
      <c r="D165" s="8"/>
      <c r="E165" s="57"/>
      <c r="F165" s="12"/>
      <c r="G165" s="57" t="s">
        <v>948</v>
      </c>
      <c r="H165" s="12" t="s">
        <v>949</v>
      </c>
      <c r="I165" s="57"/>
      <c r="J165" s="57"/>
      <c r="K165" s="57" t="s">
        <v>950</v>
      </c>
      <c r="L165" s="57" t="s">
        <v>950</v>
      </c>
      <c r="M165" s="57" t="s">
        <v>951</v>
      </c>
      <c r="N165" s="12" t="s">
        <v>806</v>
      </c>
      <c r="O165" s="12"/>
      <c r="P165" s="57" t="s">
        <v>950</v>
      </c>
      <c r="Q165" s="57" t="s">
        <v>950</v>
      </c>
      <c r="R165" s="57" t="s">
        <v>951</v>
      </c>
      <c r="S165" s="57" t="s">
        <v>806</v>
      </c>
      <c r="T165" s="57"/>
    </row>
    <row r="166" spans="1:20" ht="17.100000000000001" customHeight="1" x14ac:dyDescent="0.25">
      <c r="A166" s="148"/>
      <c r="B166" s="148"/>
      <c r="D166" s="57" t="s">
        <v>313</v>
      </c>
      <c r="E166" s="57" t="s">
        <v>314</v>
      </c>
      <c r="F166" s="57"/>
      <c r="G166" s="57" t="s">
        <v>952</v>
      </c>
      <c r="H166" s="57" t="s">
        <v>950</v>
      </c>
      <c r="I166" s="12" t="s">
        <v>948</v>
      </c>
      <c r="J166" s="12"/>
      <c r="K166" s="12" t="s">
        <v>953</v>
      </c>
      <c r="L166" s="12" t="s">
        <v>954</v>
      </c>
      <c r="M166" s="12" t="s">
        <v>950</v>
      </c>
      <c r="N166" s="57" t="s">
        <v>335</v>
      </c>
      <c r="O166" s="57"/>
      <c r="P166" s="12" t="s">
        <v>953</v>
      </c>
      <c r="Q166" s="12" t="s">
        <v>954</v>
      </c>
      <c r="R166" s="12" t="s">
        <v>950</v>
      </c>
      <c r="S166" s="12" t="s">
        <v>335</v>
      </c>
      <c r="T166" s="12" t="s">
        <v>855</v>
      </c>
    </row>
    <row r="167" spans="1:20" ht="17.100000000000001" customHeight="1" thickBot="1" x14ac:dyDescent="0.3">
      <c r="A167" s="148"/>
      <c r="B167" s="148"/>
      <c r="D167" s="58" t="s">
        <v>319</v>
      </c>
      <c r="E167" s="58" t="s">
        <v>953</v>
      </c>
      <c r="F167" s="58"/>
      <c r="G167" s="58" t="s">
        <v>955</v>
      </c>
      <c r="H167" s="58" t="s">
        <v>710</v>
      </c>
      <c r="I167" s="14" t="s">
        <v>710</v>
      </c>
      <c r="J167" s="14"/>
      <c r="K167" s="14" t="s">
        <v>956</v>
      </c>
      <c r="L167" s="14" t="s">
        <v>956</v>
      </c>
      <c r="M167" s="14" t="s">
        <v>956</v>
      </c>
      <c r="N167" s="14" t="s">
        <v>317</v>
      </c>
      <c r="O167" s="14"/>
      <c r="P167" s="14" t="s">
        <v>956</v>
      </c>
      <c r="Q167" s="14" t="s">
        <v>956</v>
      </c>
      <c r="R167" s="14" t="s">
        <v>956</v>
      </c>
      <c r="S167" s="14" t="s">
        <v>317</v>
      </c>
      <c r="T167" s="14" t="s">
        <v>325</v>
      </c>
    </row>
    <row r="168" spans="1:20" ht="17.100000000000001" customHeight="1" x14ac:dyDescent="0.25">
      <c r="A168" s="148"/>
      <c r="B168" s="148"/>
      <c r="D168" s="57">
        <v>1</v>
      </c>
      <c r="E168" s="225" t="s">
        <v>1098</v>
      </c>
      <c r="F168" s="225"/>
      <c r="G168" s="8"/>
      <c r="H168" s="8"/>
      <c r="I168" s="8"/>
      <c r="J168" s="8"/>
      <c r="K168" s="8"/>
      <c r="L168" s="8"/>
      <c r="M168" s="8"/>
      <c r="N168" s="8"/>
      <c r="O168" s="35"/>
      <c r="P168" s="35"/>
      <c r="Q168" s="35"/>
      <c r="R168" s="35"/>
      <c r="S168" s="35"/>
      <c r="T168" s="35"/>
    </row>
    <row r="169" spans="1:20" ht="17.100000000000001" customHeight="1" x14ac:dyDescent="0.25">
      <c r="A169" s="148"/>
      <c r="B169" s="148"/>
      <c r="D169" s="57">
        <v>2</v>
      </c>
      <c r="E169" s="385" t="s">
        <v>1099</v>
      </c>
      <c r="F169" s="385"/>
    </row>
    <row r="170" spans="1:20" ht="17.100000000000001" customHeight="1" x14ac:dyDescent="0.25">
      <c r="A170" s="148">
        <v>912</v>
      </c>
      <c r="B170" s="148"/>
      <c r="D170" s="57">
        <v>3</v>
      </c>
      <c r="E170" s="232" t="s">
        <v>1100</v>
      </c>
      <c r="F170" s="155" t="s">
        <v>1101</v>
      </c>
      <c r="G170" s="32">
        <f>+SUMIFS('2025 Lighting BDs'!C:C,'2025 Lighting BDs'!B:B,'E-13d'!A170)</f>
        <v>193669</v>
      </c>
      <c r="H170" s="32">
        <v>9</v>
      </c>
      <c r="I170" s="32">
        <f t="shared" ref="I170:I190" si="49">+H170*G170</f>
        <v>1743021</v>
      </c>
      <c r="J170" s="8"/>
      <c r="K170" s="39">
        <f>+SUMIFS('2026 Lighting Rates'!B:B,'2026 Lighting Rates'!A:A,A170)</f>
        <v>7.72</v>
      </c>
      <c r="L170" s="39">
        <f>+SUMIFS('2026 Lighting Rates'!C:C,'2026 Lighting Rates'!A:A,A170)</f>
        <v>1.74</v>
      </c>
      <c r="M170" s="47">
        <f t="shared" ref="M170:M190" si="50">+K170+L170</f>
        <v>9.4599999999999991</v>
      </c>
      <c r="N170" s="31">
        <f t="shared" ref="N170:N190" si="51">+M170*G170</f>
        <v>1832108.7399999998</v>
      </c>
      <c r="O170" s="8"/>
      <c r="P170" s="47">
        <f t="shared" ref="P170:P190" si="52">+K170</f>
        <v>7.72</v>
      </c>
      <c r="Q170" s="47">
        <f t="shared" ref="Q170:Q190" si="53">+L170</f>
        <v>1.74</v>
      </c>
      <c r="R170" s="47">
        <f t="shared" ref="R170:R190" si="54">+P170+Q170</f>
        <v>9.4599999999999991</v>
      </c>
      <c r="S170" s="161">
        <f t="shared" ref="S170:S190" si="55">+R170*G170</f>
        <v>1832108.7399999998</v>
      </c>
      <c r="T170" s="183">
        <f t="shared" ref="T170:T191" si="56">IF(S170=0,0,(S170-N170)/N170)</f>
        <v>0</v>
      </c>
    </row>
    <row r="171" spans="1:20" ht="17.100000000000001" customHeight="1" x14ac:dyDescent="0.25">
      <c r="A171" s="148">
        <v>914</v>
      </c>
      <c r="B171" s="148"/>
      <c r="D171" s="57">
        <v>4</v>
      </c>
      <c r="E171" s="233" t="s">
        <v>1102</v>
      </c>
      <c r="F171" s="155" t="s">
        <v>1103</v>
      </c>
      <c r="G171" s="32">
        <f>+SUMIFS('2025 Lighting BDs'!C:C,'2025 Lighting BDs'!B:B,'E-13d'!A171)</f>
        <v>1161670</v>
      </c>
      <c r="H171" s="32">
        <v>16</v>
      </c>
      <c r="I171" s="32">
        <f t="shared" si="49"/>
        <v>18586720</v>
      </c>
      <c r="J171" s="8"/>
      <c r="K171" s="39">
        <f>+SUMIFS('2026 Lighting Rates'!B:B,'2026 Lighting Rates'!A:A,A171)</f>
        <v>7.64</v>
      </c>
      <c r="L171" s="39">
        <f>+SUMIFS('2026 Lighting Rates'!C:C,'2026 Lighting Rates'!A:A,A171)</f>
        <v>1.74</v>
      </c>
      <c r="M171" s="47">
        <f t="shared" si="50"/>
        <v>9.379999999999999</v>
      </c>
      <c r="N171" s="31">
        <f t="shared" si="51"/>
        <v>10896464.6</v>
      </c>
      <c r="O171" s="8"/>
      <c r="P171" s="47">
        <f t="shared" si="52"/>
        <v>7.64</v>
      </c>
      <c r="Q171" s="47">
        <f t="shared" si="53"/>
        <v>1.74</v>
      </c>
      <c r="R171" s="47">
        <f t="shared" si="54"/>
        <v>9.379999999999999</v>
      </c>
      <c r="S171" s="161">
        <f t="shared" si="55"/>
        <v>10896464.6</v>
      </c>
      <c r="T171" s="183">
        <f t="shared" si="56"/>
        <v>0</v>
      </c>
    </row>
    <row r="172" spans="1:20" ht="17.100000000000001" customHeight="1" x14ac:dyDescent="0.25">
      <c r="A172" s="148">
        <v>921</v>
      </c>
      <c r="B172" s="148"/>
      <c r="D172" s="57">
        <v>5</v>
      </c>
      <c r="E172" s="233" t="s">
        <v>1104</v>
      </c>
      <c r="F172" s="155" t="s">
        <v>1105</v>
      </c>
      <c r="G172" s="32">
        <f>+SUMIFS('2025 Lighting BDs'!C:C,'2025 Lighting BDs'!B:B,'E-13d'!A172)</f>
        <v>28917</v>
      </c>
      <c r="H172" s="32">
        <v>31</v>
      </c>
      <c r="I172" s="32">
        <f t="shared" si="49"/>
        <v>896427</v>
      </c>
      <c r="J172" s="8"/>
      <c r="K172" s="39">
        <f>+SUMIFS('2026 Lighting Rates'!B:B,'2026 Lighting Rates'!A:A,A172)</f>
        <v>11.82</v>
      </c>
      <c r="L172" s="39">
        <f>+SUMIFS('2026 Lighting Rates'!C:C,'2026 Lighting Rates'!A:A,A172)</f>
        <v>1.74</v>
      </c>
      <c r="M172" s="47">
        <f t="shared" si="50"/>
        <v>13.56</v>
      </c>
      <c r="N172" s="31">
        <f t="shared" si="51"/>
        <v>392114.52</v>
      </c>
      <c r="O172" s="8"/>
      <c r="P172" s="47">
        <f t="shared" si="52"/>
        <v>11.82</v>
      </c>
      <c r="Q172" s="47">
        <f t="shared" si="53"/>
        <v>1.74</v>
      </c>
      <c r="R172" s="47">
        <f t="shared" si="54"/>
        <v>13.56</v>
      </c>
      <c r="S172" s="161">
        <f t="shared" si="55"/>
        <v>392114.52</v>
      </c>
      <c r="T172" s="183">
        <f t="shared" si="56"/>
        <v>0</v>
      </c>
    </row>
    <row r="173" spans="1:20" ht="17.100000000000001" customHeight="1" x14ac:dyDescent="0.25">
      <c r="A173" s="148">
        <v>926</v>
      </c>
      <c r="B173" s="148"/>
      <c r="D173" s="57">
        <v>6</v>
      </c>
      <c r="E173" s="233" t="s">
        <v>1106</v>
      </c>
      <c r="F173" s="155" t="s">
        <v>1107</v>
      </c>
      <c r="G173" s="32">
        <f>+SUMIFS('2025 Lighting BDs'!C:C,'2025 Lighting BDs'!B:B,'E-13d'!A173)</f>
        <v>195343</v>
      </c>
      <c r="H173" s="32">
        <v>37</v>
      </c>
      <c r="I173" s="32">
        <f t="shared" si="49"/>
        <v>7227691</v>
      </c>
      <c r="K173" s="39">
        <f>+SUMIFS('2026 Lighting Rates'!B:B,'2026 Lighting Rates'!A:A,A173)</f>
        <v>10.85</v>
      </c>
      <c r="L173" s="39">
        <f>+SUMIFS('2026 Lighting Rates'!C:C,'2026 Lighting Rates'!A:A,A173)</f>
        <v>1.19</v>
      </c>
      <c r="M173" s="47">
        <f t="shared" si="50"/>
        <v>12.04</v>
      </c>
      <c r="N173" s="31">
        <f t="shared" si="51"/>
        <v>2351929.7199999997</v>
      </c>
      <c r="P173" s="47">
        <f t="shared" si="52"/>
        <v>10.85</v>
      </c>
      <c r="Q173" s="47">
        <f t="shared" si="53"/>
        <v>1.19</v>
      </c>
      <c r="R173" s="47">
        <f t="shared" si="54"/>
        <v>12.04</v>
      </c>
      <c r="S173" s="161">
        <f t="shared" si="55"/>
        <v>2351929.7199999997</v>
      </c>
      <c r="T173" s="183">
        <f t="shared" si="56"/>
        <v>0</v>
      </c>
    </row>
    <row r="174" spans="1:20" ht="17.100000000000001" customHeight="1" x14ac:dyDescent="0.25">
      <c r="A174" s="148">
        <v>932</v>
      </c>
      <c r="B174" s="148"/>
      <c r="D174" s="57">
        <v>7</v>
      </c>
      <c r="E174" s="233" t="s">
        <v>1108</v>
      </c>
      <c r="F174" s="155" t="s">
        <v>1109</v>
      </c>
      <c r="G174" s="32">
        <f>+SUMIFS('2025 Lighting BDs'!C:C,'2025 Lighting BDs'!B:B,'E-13d'!A174)</f>
        <v>27969</v>
      </c>
      <c r="H174" s="32">
        <v>47</v>
      </c>
      <c r="I174" s="32">
        <f t="shared" si="49"/>
        <v>1314543</v>
      </c>
      <c r="K174" s="39">
        <f>+SUMIFS('2026 Lighting Rates'!B:B,'2026 Lighting Rates'!A:A,A174)</f>
        <v>20.41</v>
      </c>
      <c r="L174" s="39">
        <f>+SUMIFS('2026 Lighting Rates'!C:C,'2026 Lighting Rates'!A:A,A174)</f>
        <v>1.38</v>
      </c>
      <c r="M174" s="47">
        <f t="shared" si="50"/>
        <v>21.79</v>
      </c>
      <c r="N174" s="31">
        <f t="shared" si="51"/>
        <v>609444.51</v>
      </c>
      <c r="P174" s="47">
        <f t="shared" si="52"/>
        <v>20.41</v>
      </c>
      <c r="Q174" s="47">
        <f t="shared" si="53"/>
        <v>1.38</v>
      </c>
      <c r="R174" s="47">
        <f t="shared" si="54"/>
        <v>21.79</v>
      </c>
      <c r="S174" s="161">
        <f t="shared" si="55"/>
        <v>609444.51</v>
      </c>
      <c r="T174" s="183">
        <f t="shared" si="56"/>
        <v>0</v>
      </c>
    </row>
    <row r="175" spans="1:20" ht="17.100000000000001" customHeight="1" x14ac:dyDescent="0.25">
      <c r="A175" s="148">
        <v>935</v>
      </c>
      <c r="B175" s="148"/>
      <c r="D175" s="57">
        <v>8</v>
      </c>
      <c r="E175" s="233" t="s">
        <v>1110</v>
      </c>
      <c r="F175" s="155" t="s">
        <v>1111</v>
      </c>
      <c r="G175" s="32">
        <f>+SUMIFS('2025 Lighting BDs'!C:C,'2025 Lighting BDs'!B:B,'E-13d'!A175)</f>
        <v>1372</v>
      </c>
      <c r="H175" s="32">
        <v>50</v>
      </c>
      <c r="I175" s="32">
        <f t="shared" si="49"/>
        <v>68600</v>
      </c>
      <c r="K175" s="39">
        <f>+SUMIFS('2026 Lighting Rates'!B:B,'2026 Lighting Rates'!A:A,A175)</f>
        <v>15.21</v>
      </c>
      <c r="L175" s="39">
        <f>+SUMIFS('2026 Lighting Rates'!C:C,'2026 Lighting Rates'!A:A,A175)</f>
        <v>1.41</v>
      </c>
      <c r="M175" s="47">
        <f t="shared" si="50"/>
        <v>16.62</v>
      </c>
      <c r="N175" s="31">
        <f t="shared" si="51"/>
        <v>22802.640000000003</v>
      </c>
      <c r="O175" s="153"/>
      <c r="P175" s="47">
        <f t="shared" si="52"/>
        <v>15.21</v>
      </c>
      <c r="Q175" s="47">
        <f t="shared" si="53"/>
        <v>1.41</v>
      </c>
      <c r="R175" s="47">
        <f t="shared" si="54"/>
        <v>16.62</v>
      </c>
      <c r="S175" s="161">
        <f t="shared" si="55"/>
        <v>22802.640000000003</v>
      </c>
      <c r="T175" s="183">
        <f t="shared" si="56"/>
        <v>0</v>
      </c>
    </row>
    <row r="176" spans="1:20" ht="17.100000000000001" customHeight="1" x14ac:dyDescent="0.25">
      <c r="A176" s="148">
        <v>937</v>
      </c>
      <c r="B176" s="148"/>
      <c r="D176" s="57">
        <v>9</v>
      </c>
      <c r="E176" s="233" t="s">
        <v>1112</v>
      </c>
      <c r="F176" s="155" t="s">
        <v>1113</v>
      </c>
      <c r="G176" s="32">
        <f>+SUMIFS('2025 Lighting BDs'!C:C,'2025 Lighting BDs'!B:B,'E-13d'!A176)</f>
        <v>223725</v>
      </c>
      <c r="H176" s="32">
        <v>51</v>
      </c>
      <c r="I176" s="32">
        <f t="shared" si="49"/>
        <v>11409975</v>
      </c>
      <c r="K176" s="39">
        <f>+SUMIFS('2026 Lighting Rates'!B:B,'2026 Lighting Rates'!A:A,A176)</f>
        <v>11.57</v>
      </c>
      <c r="L176" s="39">
        <f>+SUMIFS('2026 Lighting Rates'!C:C,'2026 Lighting Rates'!A:A,A176)</f>
        <v>2.2599999999999998</v>
      </c>
      <c r="M176" s="47">
        <f t="shared" si="50"/>
        <v>13.83</v>
      </c>
      <c r="N176" s="31">
        <f t="shared" si="51"/>
        <v>3094116.75</v>
      </c>
      <c r="P176" s="47">
        <f t="shared" si="52"/>
        <v>11.57</v>
      </c>
      <c r="Q176" s="47">
        <f t="shared" si="53"/>
        <v>2.2599999999999998</v>
      </c>
      <c r="R176" s="47">
        <f t="shared" si="54"/>
        <v>13.83</v>
      </c>
      <c r="S176" s="161">
        <f t="shared" si="55"/>
        <v>3094116.75</v>
      </c>
      <c r="T176" s="183">
        <f t="shared" si="56"/>
        <v>0</v>
      </c>
    </row>
    <row r="177" spans="1:23" ht="17.100000000000001" customHeight="1" x14ac:dyDescent="0.25">
      <c r="A177" s="148">
        <v>941</v>
      </c>
      <c r="B177" s="148"/>
      <c r="D177" s="57">
        <v>10</v>
      </c>
      <c r="E177" s="233" t="s">
        <v>1114</v>
      </c>
      <c r="F177" s="155" t="s">
        <v>1115</v>
      </c>
      <c r="G177" s="32">
        <f>+SUMIFS('2025 Lighting BDs'!C:C,'2025 Lighting BDs'!B:B,'E-13d'!A177)</f>
        <v>184781</v>
      </c>
      <c r="H177" s="32">
        <v>64</v>
      </c>
      <c r="I177" s="32">
        <f t="shared" si="49"/>
        <v>11825984</v>
      </c>
      <c r="K177" s="39">
        <f>+SUMIFS('2026 Lighting Rates'!B:B,'2026 Lighting Rates'!A:A,A177)</f>
        <v>14.74</v>
      </c>
      <c r="L177" s="39">
        <f>+SUMIFS('2026 Lighting Rates'!C:C,'2026 Lighting Rates'!A:A,A177)</f>
        <v>2.5099999999999998</v>
      </c>
      <c r="M177" s="47">
        <f t="shared" si="50"/>
        <v>17.25</v>
      </c>
      <c r="N177" s="31">
        <f t="shared" si="51"/>
        <v>3187472.25</v>
      </c>
      <c r="P177" s="47">
        <f t="shared" si="52"/>
        <v>14.74</v>
      </c>
      <c r="Q177" s="47">
        <f t="shared" si="53"/>
        <v>2.5099999999999998</v>
      </c>
      <c r="R177" s="47">
        <f t="shared" si="54"/>
        <v>17.25</v>
      </c>
      <c r="S177" s="161">
        <f t="shared" si="55"/>
        <v>3187472.25</v>
      </c>
      <c r="T177" s="183">
        <f t="shared" si="56"/>
        <v>0</v>
      </c>
    </row>
    <row r="178" spans="1:23" ht="17.100000000000001" customHeight="1" x14ac:dyDescent="0.25">
      <c r="A178" s="148">
        <v>945</v>
      </c>
      <c r="B178" s="148"/>
      <c r="D178" s="57">
        <v>11</v>
      </c>
      <c r="E178" s="242" t="s">
        <v>1116</v>
      </c>
      <c r="F178" s="155" t="s">
        <v>1117</v>
      </c>
      <c r="G178" s="32">
        <f>+SUMIFS('2025 Lighting BDs'!C:C,'2025 Lighting BDs'!B:B,'E-13d'!A178)</f>
        <v>55509</v>
      </c>
      <c r="H178" s="32">
        <v>86</v>
      </c>
      <c r="I178" s="32">
        <f t="shared" si="49"/>
        <v>4773774</v>
      </c>
      <c r="K178" s="39">
        <f>+SUMIFS('2026 Lighting Rates'!B:B,'2026 Lighting Rates'!A:A,A178)</f>
        <v>21.2</v>
      </c>
      <c r="L178" s="39">
        <f>+SUMIFS('2026 Lighting Rates'!C:C,'2026 Lighting Rates'!A:A,A178)</f>
        <v>2.5099999999999998</v>
      </c>
      <c r="M178" s="47">
        <f t="shared" si="50"/>
        <v>23.71</v>
      </c>
      <c r="N178" s="31">
        <f t="shared" si="51"/>
        <v>1316118.3900000001</v>
      </c>
      <c r="P178" s="47">
        <f t="shared" si="52"/>
        <v>21.2</v>
      </c>
      <c r="Q178" s="47">
        <f t="shared" si="53"/>
        <v>2.5099999999999998</v>
      </c>
      <c r="R178" s="47">
        <f t="shared" si="54"/>
        <v>23.71</v>
      </c>
      <c r="S178" s="161">
        <f t="shared" si="55"/>
        <v>1316118.3900000001</v>
      </c>
      <c r="T178" s="183">
        <f t="shared" si="56"/>
        <v>0</v>
      </c>
    </row>
    <row r="179" spans="1:23" ht="17.100000000000001" customHeight="1" x14ac:dyDescent="0.25">
      <c r="A179" s="148">
        <v>947</v>
      </c>
      <c r="B179" s="148"/>
      <c r="D179" s="57">
        <v>12</v>
      </c>
      <c r="E179" s="242" t="s">
        <v>1118</v>
      </c>
      <c r="F179" s="155" t="s">
        <v>1119</v>
      </c>
      <c r="G179" s="32">
        <f>+SUMIFS('2025 Lighting BDs'!C:C,'2025 Lighting BDs'!B:B,'E-13d'!A179)</f>
        <v>31222</v>
      </c>
      <c r="H179" s="32">
        <v>116</v>
      </c>
      <c r="I179" s="32">
        <f t="shared" si="49"/>
        <v>3621752</v>
      </c>
      <c r="K179" s="39">
        <f>+SUMIFS('2026 Lighting Rates'!B:B,'2026 Lighting Rates'!A:A,A179)</f>
        <v>26.6</v>
      </c>
      <c r="L179" s="39">
        <f>+SUMIFS('2026 Lighting Rates'!C:C,'2026 Lighting Rates'!A:A,A179)</f>
        <v>1.55</v>
      </c>
      <c r="M179" s="47">
        <f t="shared" si="50"/>
        <v>28.150000000000002</v>
      </c>
      <c r="N179" s="31">
        <f t="shared" si="51"/>
        <v>878899.3</v>
      </c>
      <c r="P179" s="47">
        <f t="shared" si="52"/>
        <v>26.6</v>
      </c>
      <c r="Q179" s="47">
        <f t="shared" si="53"/>
        <v>1.55</v>
      </c>
      <c r="R179" s="47">
        <f t="shared" si="54"/>
        <v>28.150000000000002</v>
      </c>
      <c r="S179" s="161">
        <f t="shared" si="55"/>
        <v>878899.3</v>
      </c>
      <c r="T179" s="183">
        <f t="shared" si="56"/>
        <v>0</v>
      </c>
    </row>
    <row r="180" spans="1:23" ht="17.100000000000001" customHeight="1" x14ac:dyDescent="0.25">
      <c r="A180" s="148">
        <v>951</v>
      </c>
      <c r="B180" s="148"/>
      <c r="D180" s="57">
        <v>13</v>
      </c>
      <c r="E180" s="242" t="s">
        <v>1120</v>
      </c>
      <c r="F180" s="155" t="s">
        <v>1121</v>
      </c>
      <c r="G180" s="32">
        <f>+SUMIFS('2025 Lighting BDs'!C:C,'2025 Lighting BDs'!B:B,'E-13d'!A180)</f>
        <v>41702</v>
      </c>
      <c r="H180" s="32">
        <v>70</v>
      </c>
      <c r="I180" s="32">
        <f t="shared" si="49"/>
        <v>2919140</v>
      </c>
      <c r="K180" s="39">
        <f>+SUMIFS('2026 Lighting Rates'!B:B,'2026 Lighting Rates'!A:A,A180)</f>
        <v>16.510000000000002</v>
      </c>
      <c r="L180" s="39">
        <f>+SUMIFS('2026 Lighting Rates'!C:C,'2026 Lighting Rates'!A:A,A180)</f>
        <v>3.45</v>
      </c>
      <c r="M180" s="47">
        <f t="shared" si="50"/>
        <v>19.96</v>
      </c>
      <c r="N180" s="31">
        <f t="shared" si="51"/>
        <v>832371.92</v>
      </c>
      <c r="P180" s="47">
        <f t="shared" si="52"/>
        <v>16.510000000000002</v>
      </c>
      <c r="Q180" s="47">
        <f t="shared" si="53"/>
        <v>3.45</v>
      </c>
      <c r="R180" s="47">
        <f t="shared" si="54"/>
        <v>19.96</v>
      </c>
      <c r="S180" s="161">
        <f t="shared" si="55"/>
        <v>832371.92</v>
      </c>
      <c r="T180" s="183">
        <f t="shared" si="56"/>
        <v>0</v>
      </c>
    </row>
    <row r="181" spans="1:23" ht="17.100000000000001" customHeight="1" x14ac:dyDescent="0.25">
      <c r="A181" s="148">
        <v>953</v>
      </c>
      <c r="B181" s="148"/>
      <c r="D181" s="57">
        <v>14</v>
      </c>
      <c r="E181" s="242" t="s">
        <v>1122</v>
      </c>
      <c r="F181" s="155" t="s">
        <v>1123</v>
      </c>
      <c r="G181" s="32">
        <f>+SUMIFS('2025 Lighting BDs'!C:C,'2025 Lighting BDs'!B:B,'E-13d'!A181)</f>
        <v>16111</v>
      </c>
      <c r="H181" s="32">
        <v>89</v>
      </c>
      <c r="I181" s="32">
        <f t="shared" si="49"/>
        <v>1433879</v>
      </c>
      <c r="K181" s="39">
        <f>+SUMIFS('2026 Lighting Rates'!B:B,'2026 Lighting Rates'!A:A,A181)</f>
        <v>27.78</v>
      </c>
      <c r="L181" s="39">
        <f>+SUMIFS('2026 Lighting Rates'!C:C,'2026 Lighting Rates'!A:A,A181)</f>
        <v>4.0999999999999996</v>
      </c>
      <c r="M181" s="47">
        <f t="shared" si="50"/>
        <v>31.880000000000003</v>
      </c>
      <c r="N181" s="31">
        <f t="shared" si="51"/>
        <v>513618.68000000005</v>
      </c>
      <c r="P181" s="47">
        <f t="shared" si="52"/>
        <v>27.78</v>
      </c>
      <c r="Q181" s="47">
        <f t="shared" si="53"/>
        <v>4.0999999999999996</v>
      </c>
      <c r="R181" s="47">
        <f t="shared" si="54"/>
        <v>31.880000000000003</v>
      </c>
      <c r="S181" s="161">
        <f t="shared" si="55"/>
        <v>513618.68000000005</v>
      </c>
      <c r="T181" s="183">
        <f t="shared" si="56"/>
        <v>0</v>
      </c>
    </row>
    <row r="182" spans="1:23" ht="17.100000000000001" customHeight="1" x14ac:dyDescent="0.25">
      <c r="A182" s="148">
        <v>956</v>
      </c>
      <c r="B182" s="148"/>
      <c r="D182" s="57">
        <v>15</v>
      </c>
      <c r="E182" s="242" t="s">
        <v>1124</v>
      </c>
      <c r="F182" s="155" t="s">
        <v>1125</v>
      </c>
      <c r="G182" s="32">
        <f>+SUMIFS('2025 Lighting BDs'!C:C,'2025 Lighting BDs'!B:B,'E-13d'!A182)</f>
        <v>7911</v>
      </c>
      <c r="H182" s="32">
        <v>79</v>
      </c>
      <c r="I182" s="32">
        <f t="shared" si="49"/>
        <v>624969</v>
      </c>
      <c r="K182" s="39">
        <f>+SUMIFS('2026 Lighting Rates'!B:B,'2026 Lighting Rates'!A:A,A182)</f>
        <v>17.77</v>
      </c>
      <c r="L182" s="39">
        <f>+SUMIFS('2026 Lighting Rates'!C:C,'2026 Lighting Rates'!A:A,A182)</f>
        <v>3.04</v>
      </c>
      <c r="M182" s="47">
        <f t="shared" si="50"/>
        <v>20.81</v>
      </c>
      <c r="N182" s="31">
        <f t="shared" si="51"/>
        <v>164627.91</v>
      </c>
      <c r="P182" s="47">
        <f t="shared" si="52"/>
        <v>17.77</v>
      </c>
      <c r="Q182" s="47">
        <f t="shared" si="53"/>
        <v>3.04</v>
      </c>
      <c r="R182" s="47">
        <f t="shared" si="54"/>
        <v>20.81</v>
      </c>
      <c r="S182" s="161">
        <f t="shared" si="55"/>
        <v>164627.91</v>
      </c>
      <c r="T182" s="183">
        <f t="shared" si="56"/>
        <v>0</v>
      </c>
    </row>
    <row r="183" spans="1:23" ht="17.100000000000001" customHeight="1" x14ac:dyDescent="0.25">
      <c r="A183" s="148">
        <v>958</v>
      </c>
      <c r="B183" s="148"/>
      <c r="D183" s="57">
        <v>16</v>
      </c>
      <c r="E183" s="242" t="s">
        <v>1126</v>
      </c>
      <c r="F183" s="155" t="s">
        <v>1127</v>
      </c>
      <c r="G183" s="32">
        <f>+SUMIFS('2025 Lighting BDs'!C:C,'2025 Lighting BDs'!B:B,'E-13d'!A183)</f>
        <v>653</v>
      </c>
      <c r="H183" s="32">
        <v>117</v>
      </c>
      <c r="I183" s="32">
        <f t="shared" si="49"/>
        <v>76401</v>
      </c>
      <c r="K183" s="39">
        <f>+SUMIFS('2026 Lighting Rates'!B:B,'2026 Lighting Rates'!A:A,A183)</f>
        <v>22.22</v>
      </c>
      <c r="L183" s="39">
        <f>+SUMIFS('2026 Lighting Rates'!C:C,'2026 Lighting Rates'!A:A,A183)</f>
        <v>3.6</v>
      </c>
      <c r="M183" s="47">
        <f t="shared" si="50"/>
        <v>25.82</v>
      </c>
      <c r="N183" s="31">
        <f t="shared" si="51"/>
        <v>16860.46</v>
      </c>
      <c r="P183" s="47">
        <f t="shared" si="52"/>
        <v>22.22</v>
      </c>
      <c r="Q183" s="47">
        <f t="shared" si="53"/>
        <v>3.6</v>
      </c>
      <c r="R183" s="47">
        <f t="shared" si="54"/>
        <v>25.82</v>
      </c>
      <c r="S183" s="161">
        <f t="shared" si="55"/>
        <v>16860.46</v>
      </c>
      <c r="T183" s="183">
        <f t="shared" si="56"/>
        <v>0</v>
      </c>
    </row>
    <row r="184" spans="1:23" ht="17.100000000000001" customHeight="1" x14ac:dyDescent="0.25">
      <c r="A184" s="148">
        <v>965</v>
      </c>
      <c r="B184" s="148"/>
      <c r="D184" s="57">
        <v>17</v>
      </c>
      <c r="E184" s="242" t="s">
        <v>1128</v>
      </c>
      <c r="F184" s="155" t="s">
        <v>1129</v>
      </c>
      <c r="G184" s="32">
        <f>+SUMIFS('2025 Lighting BDs'!C:C,'2025 Lighting BDs'!B:B,'E-13d'!A184)</f>
        <v>55535</v>
      </c>
      <c r="H184" s="32">
        <v>9</v>
      </c>
      <c r="I184" s="32">
        <f t="shared" si="49"/>
        <v>499815</v>
      </c>
      <c r="K184" s="39">
        <f>+SUMIFS('2026 Lighting Rates'!B:B,'2026 Lighting Rates'!A:A,A184)</f>
        <v>8.4700000000000006</v>
      </c>
      <c r="L184" s="39">
        <f>+SUMIFS('2026 Lighting Rates'!C:C,'2026 Lighting Rates'!A:A,A184)</f>
        <v>2.2799999999999998</v>
      </c>
      <c r="M184" s="47">
        <f t="shared" si="50"/>
        <v>10.75</v>
      </c>
      <c r="N184" s="31">
        <f t="shared" si="51"/>
        <v>597001.25</v>
      </c>
      <c r="P184" s="47">
        <f t="shared" si="52"/>
        <v>8.4700000000000006</v>
      </c>
      <c r="Q184" s="47">
        <f t="shared" si="53"/>
        <v>2.2799999999999998</v>
      </c>
      <c r="R184" s="47">
        <f t="shared" si="54"/>
        <v>10.75</v>
      </c>
      <c r="S184" s="161">
        <f t="shared" si="55"/>
        <v>597001.25</v>
      </c>
      <c r="T184" s="183">
        <f t="shared" si="56"/>
        <v>0</v>
      </c>
    </row>
    <row r="185" spans="1:23" ht="17.100000000000001" customHeight="1" x14ac:dyDescent="0.25">
      <c r="A185" s="148">
        <v>967</v>
      </c>
      <c r="B185" s="148"/>
      <c r="D185" s="57">
        <v>18</v>
      </c>
      <c r="E185" s="242" t="s">
        <v>1130</v>
      </c>
      <c r="F185" s="155" t="s">
        <v>1131</v>
      </c>
      <c r="G185" s="32">
        <f>+SUMIFS('2025 Lighting BDs'!C:C,'2025 Lighting BDs'!B:B,'E-13d'!A185)</f>
        <v>86866</v>
      </c>
      <c r="H185" s="32">
        <v>14</v>
      </c>
      <c r="I185" s="32">
        <f t="shared" si="49"/>
        <v>1216124</v>
      </c>
      <c r="K185" s="39">
        <f>+SUMIFS('2026 Lighting Rates'!B:B,'2026 Lighting Rates'!A:A,A185)</f>
        <v>18.5</v>
      </c>
      <c r="L185" s="39">
        <f>+SUMIFS('2026 Lighting Rates'!C:C,'2026 Lighting Rates'!A:A,A185)</f>
        <v>2.2799999999999998</v>
      </c>
      <c r="M185" s="47">
        <f t="shared" si="50"/>
        <v>20.78</v>
      </c>
      <c r="N185" s="31">
        <f t="shared" si="51"/>
        <v>1805075.4800000002</v>
      </c>
      <c r="P185" s="47">
        <f t="shared" si="52"/>
        <v>18.5</v>
      </c>
      <c r="Q185" s="47">
        <f t="shared" si="53"/>
        <v>2.2799999999999998</v>
      </c>
      <c r="R185" s="47">
        <f t="shared" si="54"/>
        <v>20.78</v>
      </c>
      <c r="S185" s="161">
        <f t="shared" si="55"/>
        <v>1805075.4800000002</v>
      </c>
      <c r="T185" s="183">
        <f t="shared" si="56"/>
        <v>0</v>
      </c>
    </row>
    <row r="186" spans="1:23" ht="17.100000000000001" customHeight="1" x14ac:dyDescent="0.25">
      <c r="A186" s="148">
        <v>968</v>
      </c>
      <c r="B186" s="148"/>
      <c r="D186" s="57">
        <v>19</v>
      </c>
      <c r="E186" s="242" t="s">
        <v>1132</v>
      </c>
      <c r="F186" s="155" t="s">
        <v>1131</v>
      </c>
      <c r="G186" s="32">
        <f>+SUMIFS('2025 Lighting BDs'!C:C,'2025 Lighting BDs'!B:B,'E-13d'!A186)</f>
        <v>22465</v>
      </c>
      <c r="H186" s="32">
        <v>14</v>
      </c>
      <c r="I186" s="32">
        <f t="shared" si="49"/>
        <v>314510</v>
      </c>
      <c r="K186" s="39">
        <f>+SUMIFS('2026 Lighting Rates'!B:B,'2026 Lighting Rates'!A:A,A186)</f>
        <v>22.1</v>
      </c>
      <c r="L186" s="39">
        <f>+SUMIFS('2026 Lighting Rates'!C:C,'2026 Lighting Rates'!A:A,A186)</f>
        <v>2.2799999999999998</v>
      </c>
      <c r="M186" s="47">
        <f t="shared" si="50"/>
        <v>24.380000000000003</v>
      </c>
      <c r="N186" s="31">
        <f t="shared" si="51"/>
        <v>547696.70000000007</v>
      </c>
      <c r="P186" s="47">
        <f t="shared" si="52"/>
        <v>22.1</v>
      </c>
      <c r="Q186" s="47">
        <f t="shared" si="53"/>
        <v>2.2799999999999998</v>
      </c>
      <c r="R186" s="47">
        <f t="shared" si="54"/>
        <v>24.380000000000003</v>
      </c>
      <c r="S186" s="161">
        <f t="shared" si="55"/>
        <v>547696.70000000007</v>
      </c>
      <c r="T186" s="183">
        <f t="shared" si="56"/>
        <v>0</v>
      </c>
    </row>
    <row r="187" spans="1:23" ht="17.100000000000001" customHeight="1" x14ac:dyDescent="0.25">
      <c r="A187" s="148">
        <v>971</v>
      </c>
      <c r="B187" s="148"/>
      <c r="D187" s="57">
        <v>20</v>
      </c>
      <c r="E187" s="242" t="s">
        <v>1133</v>
      </c>
      <c r="F187" s="155" t="s">
        <v>1134</v>
      </c>
      <c r="G187" s="32">
        <f>+SUMIFS('2025 Lighting BDs'!C:C,'2025 Lighting BDs'!B:B,'E-13d'!A187)</f>
        <v>292404</v>
      </c>
      <c r="H187" s="32">
        <v>19</v>
      </c>
      <c r="I187" s="32">
        <f t="shared" si="49"/>
        <v>5555676</v>
      </c>
      <c r="K187" s="39">
        <f>+SUMIFS('2026 Lighting Rates'!B:B,'2026 Lighting Rates'!A:A,A187)</f>
        <v>15.07</v>
      </c>
      <c r="L187" s="39">
        <f>+SUMIFS('2026 Lighting Rates'!C:C,'2026 Lighting Rates'!A:A,A187)</f>
        <v>1.54</v>
      </c>
      <c r="M187" s="47">
        <f t="shared" si="50"/>
        <v>16.61</v>
      </c>
      <c r="N187" s="31">
        <f t="shared" si="51"/>
        <v>4856830.4399999995</v>
      </c>
      <c r="P187" s="47">
        <f t="shared" si="52"/>
        <v>15.07</v>
      </c>
      <c r="Q187" s="47">
        <f t="shared" si="53"/>
        <v>1.54</v>
      </c>
      <c r="R187" s="47">
        <f t="shared" si="54"/>
        <v>16.61</v>
      </c>
      <c r="S187" s="161">
        <f t="shared" si="55"/>
        <v>4856830.4399999995</v>
      </c>
      <c r="T187" s="183">
        <f t="shared" si="56"/>
        <v>0</v>
      </c>
    </row>
    <row r="188" spans="1:23" ht="17.100000000000001" customHeight="1" x14ac:dyDescent="0.25">
      <c r="A188" s="148">
        <v>972</v>
      </c>
      <c r="B188" s="148"/>
      <c r="D188" s="57">
        <v>21</v>
      </c>
      <c r="E188" s="242" t="s">
        <v>1135</v>
      </c>
      <c r="F188" s="155" t="s">
        <v>1057</v>
      </c>
      <c r="G188" s="32">
        <f>+SUMIFS('2025 Lighting BDs'!C:C,'2025 Lighting BDs'!B:B,'E-13d'!A188)</f>
        <v>4071</v>
      </c>
      <c r="H188" s="32">
        <v>21</v>
      </c>
      <c r="I188" s="32">
        <f t="shared" si="49"/>
        <v>85491</v>
      </c>
      <c r="K188" s="39">
        <f>+SUMIFS('2026 Lighting Rates'!B:B,'2026 Lighting Rates'!A:A,A188)</f>
        <v>20.239999999999998</v>
      </c>
      <c r="L188" s="39">
        <f>+SUMIFS('2026 Lighting Rates'!C:C,'2026 Lighting Rates'!A:A,A188)</f>
        <v>2.2799999999999998</v>
      </c>
      <c r="M188" s="47">
        <f t="shared" si="50"/>
        <v>22.52</v>
      </c>
      <c r="N188" s="31">
        <f t="shared" si="51"/>
        <v>91678.92</v>
      </c>
      <c r="P188" s="47">
        <f t="shared" si="52"/>
        <v>20.239999999999998</v>
      </c>
      <c r="Q188" s="47">
        <f t="shared" si="53"/>
        <v>2.2799999999999998</v>
      </c>
      <c r="R188" s="47">
        <f t="shared" si="54"/>
        <v>22.52</v>
      </c>
      <c r="S188" s="161">
        <f t="shared" si="55"/>
        <v>91678.92</v>
      </c>
      <c r="T188" s="183">
        <f t="shared" si="56"/>
        <v>0</v>
      </c>
    </row>
    <row r="189" spans="1:23" ht="17.100000000000001" customHeight="1" x14ac:dyDescent="0.25">
      <c r="A189" s="148">
        <v>973</v>
      </c>
      <c r="B189" s="148"/>
      <c r="D189" s="57">
        <v>22</v>
      </c>
      <c r="E189" s="242" t="s">
        <v>1136</v>
      </c>
      <c r="F189" s="155" t="s">
        <v>1057</v>
      </c>
      <c r="G189" s="32">
        <f>+SUMIFS('2025 Lighting BDs'!C:C,'2025 Lighting BDs'!B:B,'E-13d'!A189)</f>
        <v>757</v>
      </c>
      <c r="H189" s="32">
        <v>21</v>
      </c>
      <c r="I189" s="32">
        <f t="shared" si="49"/>
        <v>15897</v>
      </c>
      <c r="K189" s="39">
        <f>+SUMIFS('2026 Lighting Rates'!B:B,'2026 Lighting Rates'!A:A,A189)</f>
        <v>23.76</v>
      </c>
      <c r="L189" s="39">
        <f>+SUMIFS('2026 Lighting Rates'!C:C,'2026 Lighting Rates'!A:A,A189)</f>
        <v>2.2799999999999998</v>
      </c>
      <c r="M189" s="47">
        <f t="shared" si="50"/>
        <v>26.040000000000003</v>
      </c>
      <c r="N189" s="31">
        <f t="shared" si="51"/>
        <v>19712.280000000002</v>
      </c>
      <c r="P189" s="47">
        <f t="shared" si="52"/>
        <v>23.76</v>
      </c>
      <c r="Q189" s="47">
        <f t="shared" si="53"/>
        <v>2.2799999999999998</v>
      </c>
      <c r="R189" s="47">
        <f t="shared" si="54"/>
        <v>26.040000000000003</v>
      </c>
      <c r="S189" s="161">
        <f t="shared" si="55"/>
        <v>19712.280000000002</v>
      </c>
      <c r="T189" s="183">
        <f t="shared" si="56"/>
        <v>0</v>
      </c>
    </row>
    <row r="190" spans="1:23" ht="17.100000000000001" customHeight="1" x14ac:dyDescent="0.25">
      <c r="A190" s="148">
        <v>975</v>
      </c>
      <c r="B190" s="148"/>
      <c r="D190" s="57">
        <v>23</v>
      </c>
      <c r="E190" s="242" t="s">
        <v>1137</v>
      </c>
      <c r="F190" s="155" t="s">
        <v>1138</v>
      </c>
      <c r="G190" s="32">
        <f>+SUMIFS('2025 Lighting BDs'!C:C,'2025 Lighting BDs'!B:B,'E-13d'!A190)</f>
        <v>52903</v>
      </c>
      <c r="H190" s="32">
        <v>27</v>
      </c>
      <c r="I190" s="32">
        <f t="shared" si="49"/>
        <v>1428381</v>
      </c>
      <c r="K190" s="39">
        <f>+SUMIFS('2026 Lighting Rates'!B:B,'2026 Lighting Rates'!A:A,A190)</f>
        <v>19.57</v>
      </c>
      <c r="L190" s="39">
        <f>+SUMIFS('2026 Lighting Rates'!C:C,'2026 Lighting Rates'!A:A,A190)</f>
        <v>1.54</v>
      </c>
      <c r="M190" s="47">
        <f t="shared" si="50"/>
        <v>21.11</v>
      </c>
      <c r="N190" s="31">
        <f t="shared" si="51"/>
        <v>1116782.33</v>
      </c>
      <c r="P190" s="47">
        <f t="shared" si="52"/>
        <v>19.57</v>
      </c>
      <c r="Q190" s="47">
        <f t="shared" si="53"/>
        <v>1.54</v>
      </c>
      <c r="R190" s="47">
        <f t="shared" si="54"/>
        <v>21.11</v>
      </c>
      <c r="S190" s="161">
        <f t="shared" si="55"/>
        <v>1116782.33</v>
      </c>
      <c r="T190" s="183">
        <f t="shared" si="56"/>
        <v>0</v>
      </c>
    </row>
    <row r="191" spans="1:23" ht="17.100000000000001" customHeight="1" x14ac:dyDescent="0.25">
      <c r="A191" s="148"/>
      <c r="B191" s="148"/>
      <c r="D191" s="57">
        <v>24</v>
      </c>
      <c r="E191" s="10" t="s">
        <v>982</v>
      </c>
      <c r="G191" s="236"/>
      <c r="N191" s="31">
        <f>SUM(N170:N190)</f>
        <v>35143727.789999999</v>
      </c>
      <c r="O191" s="243"/>
      <c r="P191" s="153"/>
      <c r="S191" s="31">
        <f>SUM(S170:S190)</f>
        <v>35143727.789999999</v>
      </c>
      <c r="T191" s="183">
        <f t="shared" si="56"/>
        <v>0</v>
      </c>
    </row>
    <row r="192" spans="1:23" ht="17.100000000000001" customHeight="1" x14ac:dyDescent="0.25">
      <c r="A192" s="148"/>
      <c r="B192" s="148"/>
      <c r="D192" s="57">
        <v>25</v>
      </c>
      <c r="W192" s="153"/>
    </row>
    <row r="193" spans="1:22" ht="17.100000000000001" customHeight="1" x14ac:dyDescent="0.25">
      <c r="A193" s="148"/>
      <c r="B193" s="148"/>
      <c r="D193" s="57">
        <v>26</v>
      </c>
    </row>
    <row r="194" spans="1:22" ht="17.100000000000001" customHeight="1" x14ac:dyDescent="0.25">
      <c r="A194" s="148"/>
      <c r="B194" s="148"/>
      <c r="D194" s="57">
        <v>27</v>
      </c>
    </row>
    <row r="195" spans="1:22" ht="17.100000000000001" customHeight="1" x14ac:dyDescent="0.25">
      <c r="A195" s="148"/>
      <c r="B195" s="148"/>
      <c r="D195" s="57">
        <v>28</v>
      </c>
    </row>
    <row r="196" spans="1:22" ht="17.100000000000001" customHeight="1" x14ac:dyDescent="0.25">
      <c r="A196" s="148"/>
      <c r="B196" s="148"/>
      <c r="D196" s="57">
        <v>29</v>
      </c>
    </row>
    <row r="197" spans="1:22" ht="17.100000000000001" customHeight="1" x14ac:dyDescent="0.25">
      <c r="A197" s="148"/>
      <c r="B197" s="148"/>
      <c r="D197" s="57">
        <v>30</v>
      </c>
    </row>
    <row r="198" spans="1:22" ht="17.100000000000001" customHeight="1" x14ac:dyDescent="0.25">
      <c r="A198" s="148"/>
      <c r="B198" s="148"/>
      <c r="D198" s="57">
        <v>31</v>
      </c>
    </row>
    <row r="199" spans="1:22" ht="17.100000000000001" customHeight="1" x14ac:dyDescent="0.25">
      <c r="A199" s="148"/>
      <c r="B199" s="148"/>
      <c r="D199" s="57">
        <v>32</v>
      </c>
      <c r="V199" s="153"/>
    </row>
    <row r="200" spans="1:22" ht="17.100000000000001" customHeight="1" x14ac:dyDescent="0.25">
      <c r="A200" s="148"/>
      <c r="B200" s="148"/>
      <c r="D200" s="57">
        <v>33</v>
      </c>
    </row>
    <row r="201" spans="1:22" ht="17.100000000000001" customHeight="1" x14ac:dyDescent="0.25">
      <c r="A201" s="148"/>
      <c r="B201" s="148"/>
      <c r="D201" s="57">
        <v>34</v>
      </c>
    </row>
    <row r="202" spans="1:22" ht="17.100000000000001" customHeight="1" x14ac:dyDescent="0.25">
      <c r="A202" s="148"/>
      <c r="B202" s="148"/>
      <c r="D202" s="57">
        <v>35</v>
      </c>
    </row>
    <row r="203" spans="1:22" ht="17.100000000000001" customHeight="1" x14ac:dyDescent="0.25">
      <c r="A203" s="148"/>
      <c r="B203" s="148"/>
      <c r="D203" s="57">
        <v>36</v>
      </c>
    </row>
    <row r="204" spans="1:22" ht="17.100000000000001" customHeight="1" x14ac:dyDescent="0.25">
      <c r="A204" s="148"/>
      <c r="B204" s="148"/>
      <c r="D204" s="57">
        <v>37</v>
      </c>
    </row>
    <row r="205" spans="1:22" ht="17.100000000000001" customHeight="1" x14ac:dyDescent="0.25">
      <c r="A205" s="148"/>
      <c r="B205" s="148"/>
      <c r="D205" s="57">
        <v>38</v>
      </c>
      <c r="E205" s="233"/>
      <c r="F205" s="11"/>
      <c r="G205" s="32"/>
      <c r="H205" s="32"/>
      <c r="I205" s="32"/>
      <c r="J205" s="8"/>
      <c r="K205" s="8"/>
      <c r="L205" s="8"/>
      <c r="M205" s="8"/>
      <c r="N205" s="156"/>
      <c r="O205" s="244"/>
      <c r="P205" s="245"/>
      <c r="Q205" s="8"/>
      <c r="R205" s="8"/>
      <c r="S205" s="156"/>
      <c r="T205" s="43"/>
    </row>
    <row r="206" spans="1:22" ht="17.100000000000001" customHeight="1" x14ac:dyDescent="0.25">
      <c r="A206" s="148"/>
      <c r="B206" s="148"/>
      <c r="D206" s="57">
        <v>39</v>
      </c>
      <c r="E206" s="233"/>
      <c r="F206" s="11"/>
      <c r="G206" s="32"/>
      <c r="H206" s="32"/>
      <c r="I206" s="32"/>
      <c r="J206" s="8"/>
      <c r="K206" s="8"/>
      <c r="L206" s="8"/>
      <c r="M206" s="8"/>
      <c r="N206" s="156"/>
      <c r="O206" s="244"/>
      <c r="P206" s="245"/>
      <c r="Q206" s="8"/>
      <c r="R206" s="8"/>
      <c r="S206" s="156"/>
      <c r="T206" s="43"/>
    </row>
    <row r="207" spans="1:22" ht="17.100000000000001" customHeight="1" thickBot="1" x14ac:dyDescent="0.3">
      <c r="A207" s="148"/>
      <c r="B207" s="148"/>
      <c r="D207" s="58">
        <v>40</v>
      </c>
      <c r="E207" s="231"/>
      <c r="F207" s="9"/>
      <c r="G207" s="9"/>
      <c r="H207" s="9"/>
      <c r="I207" s="9"/>
      <c r="J207" s="9"/>
      <c r="K207" s="9"/>
      <c r="L207" s="9"/>
      <c r="M207" s="9"/>
      <c r="N207" s="9"/>
      <c r="O207" s="246"/>
      <c r="P207" s="9"/>
      <c r="Q207" s="9"/>
      <c r="R207" s="9"/>
      <c r="S207" s="9"/>
      <c r="T207" s="13" t="s">
        <v>924</v>
      </c>
    </row>
    <row r="208" spans="1:22" ht="17.100000000000001" customHeight="1" x14ac:dyDescent="0.25">
      <c r="A208" s="148"/>
      <c r="B208" s="148"/>
      <c r="D208" s="8" t="s">
        <v>1002</v>
      </c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 t="str">
        <f>+R52</f>
        <v>Recap Schedules: E-13a</v>
      </c>
      <c r="S208" s="8"/>
      <c r="T208" s="8"/>
    </row>
    <row r="209" spans="1:20" ht="17.100000000000001" customHeight="1" thickBot="1" x14ac:dyDescent="0.3">
      <c r="A209" s="148"/>
      <c r="B209" s="148"/>
      <c r="D209" s="9" t="s">
        <v>942</v>
      </c>
      <c r="E209" s="9"/>
      <c r="F209" s="9"/>
      <c r="G209" s="9"/>
      <c r="H209" s="9"/>
      <c r="I209" s="9" t="s">
        <v>943</v>
      </c>
      <c r="J209" s="9"/>
      <c r="K209" s="9"/>
      <c r="L209" s="9"/>
      <c r="M209" s="9"/>
      <c r="N209" s="9"/>
      <c r="O209" s="154"/>
      <c r="P209" s="222"/>
      <c r="Q209" s="9"/>
      <c r="R209" s="9"/>
      <c r="S209" s="9"/>
      <c r="T209" s="9" t="s">
        <v>1139</v>
      </c>
    </row>
    <row r="210" spans="1:20" ht="17.100000000000001" customHeight="1" x14ac:dyDescent="0.25">
      <c r="A210" s="148"/>
      <c r="B210" s="148"/>
      <c r="D210" s="8" t="s">
        <v>307</v>
      </c>
      <c r="E210" s="8"/>
      <c r="F210" s="8"/>
      <c r="G210" s="11"/>
      <c r="H210" s="8"/>
      <c r="I210" s="11" t="s">
        <v>1005</v>
      </c>
      <c r="J210" s="8" t="s">
        <v>1228</v>
      </c>
      <c r="K210" s="8"/>
      <c r="L210" s="99"/>
      <c r="M210" s="99"/>
      <c r="N210" s="8"/>
      <c r="O210" s="8"/>
      <c r="P210" s="99"/>
      <c r="Q210" s="99" t="s">
        <v>309</v>
      </c>
      <c r="R210" s="8"/>
      <c r="S210" s="8"/>
      <c r="T210" s="10"/>
    </row>
    <row r="211" spans="1:20" ht="17.100000000000001" customHeight="1" x14ac:dyDescent="0.25">
      <c r="A211" s="148"/>
      <c r="B211" s="148"/>
      <c r="D211" s="8"/>
      <c r="E211" s="8"/>
      <c r="F211" s="8"/>
      <c r="G211" s="8"/>
      <c r="H211" s="8"/>
      <c r="I211" s="8"/>
      <c r="J211" s="8" t="s">
        <v>1229</v>
      </c>
      <c r="K211" s="8"/>
      <c r="L211" s="11"/>
      <c r="M211" s="10"/>
      <c r="N211" s="8"/>
      <c r="O211" s="8"/>
      <c r="P211" s="8"/>
      <c r="Q211" s="224"/>
      <c r="R211" s="117" t="s">
        <v>916</v>
      </c>
      <c r="S211" s="116" t="s">
        <v>1512</v>
      </c>
      <c r="T211" s="11"/>
    </row>
    <row r="212" spans="1:20" ht="17.100000000000001" customHeight="1" x14ac:dyDescent="0.25">
      <c r="A212" s="148"/>
      <c r="B212" s="148"/>
      <c r="D212" s="8" t="s">
        <v>310</v>
      </c>
      <c r="E212" s="8"/>
      <c r="F212" s="8"/>
      <c r="G212" s="8"/>
      <c r="H212" s="8"/>
      <c r="I212" s="8"/>
      <c r="J212" s="8" t="s">
        <v>1230</v>
      </c>
      <c r="K212" s="8"/>
      <c r="L212" s="11"/>
      <c r="M212" s="10"/>
      <c r="N212" s="11"/>
      <c r="O212" s="11"/>
      <c r="P212" s="8"/>
      <c r="Q212" s="11"/>
      <c r="R212" s="265"/>
      <c r="S212" s="116"/>
      <c r="T212" s="11"/>
    </row>
    <row r="213" spans="1:20" ht="17.100000000000001" customHeight="1" x14ac:dyDescent="0.25">
      <c r="A213" s="148"/>
      <c r="B213" s="148"/>
      <c r="D213" s="8"/>
      <c r="E213" s="8"/>
      <c r="F213" s="8"/>
      <c r="G213" s="8"/>
      <c r="H213" s="8"/>
      <c r="I213" s="8"/>
      <c r="J213" s="8" t="s">
        <v>1231</v>
      </c>
      <c r="K213" s="8"/>
      <c r="L213" s="11"/>
      <c r="M213" s="10"/>
      <c r="N213" s="11"/>
      <c r="O213" s="11"/>
      <c r="P213" s="8"/>
      <c r="Q213" s="11"/>
      <c r="R213" s="265"/>
      <c r="S213" s="116"/>
      <c r="T213" s="11"/>
    </row>
    <row r="214" spans="1:20" ht="17.100000000000001" customHeight="1" thickBot="1" x14ac:dyDescent="0.3">
      <c r="A214" s="148"/>
      <c r="B214" s="148"/>
      <c r="D214" s="9" t="str">
        <f>+$D$6</f>
        <v>DOCKET No. 20240026-EI</v>
      </c>
      <c r="E214" s="9"/>
      <c r="F214" s="9"/>
      <c r="G214" s="9"/>
      <c r="H214" s="9" t="s">
        <v>1097</v>
      </c>
      <c r="I214" s="9"/>
      <c r="J214" s="9"/>
      <c r="K214" s="58"/>
      <c r="L214" s="9"/>
      <c r="M214" s="9"/>
      <c r="N214" s="9"/>
      <c r="O214" s="9"/>
      <c r="P214" s="9"/>
      <c r="Q214" s="9"/>
      <c r="R214" s="264"/>
      <c r="S214" s="114" t="s">
        <v>1519</v>
      </c>
      <c r="T214" s="9"/>
    </row>
    <row r="215" spans="1:20" ht="17.100000000000001" customHeight="1" x14ac:dyDescent="0.25">
      <c r="A215" s="148"/>
      <c r="B215" s="148"/>
      <c r="D215" s="225"/>
      <c r="E215" s="383" t="s">
        <v>946</v>
      </c>
      <c r="F215" s="383"/>
      <c r="G215" s="383"/>
      <c r="H215" s="383"/>
      <c r="I215" s="383"/>
      <c r="J215" s="383"/>
      <c r="K215" s="383"/>
      <c r="L215" s="383"/>
      <c r="M215" s="383"/>
      <c r="N215" s="383"/>
      <c r="O215" s="383"/>
      <c r="P215" s="383"/>
      <c r="Q215" s="383"/>
      <c r="R215" s="383"/>
      <c r="S215" s="383"/>
      <c r="T215" s="383"/>
    </row>
    <row r="216" spans="1:20" ht="17.100000000000001" customHeight="1" x14ac:dyDescent="0.25">
      <c r="A216" s="148"/>
      <c r="B216" s="148"/>
      <c r="D216" s="8"/>
      <c r="E216" s="57"/>
      <c r="F216" s="12"/>
      <c r="G216" s="12"/>
      <c r="H216" s="12"/>
      <c r="I216" s="12"/>
      <c r="J216" s="12"/>
      <c r="K216" s="384" t="s">
        <v>947</v>
      </c>
      <c r="L216" s="384"/>
      <c r="M216" s="384"/>
      <c r="N216" s="384"/>
      <c r="O216" s="12"/>
      <c r="P216" s="384" t="s">
        <v>871</v>
      </c>
      <c r="Q216" s="384"/>
      <c r="R216" s="384"/>
      <c r="S216" s="384"/>
      <c r="T216" s="12"/>
    </row>
    <row r="217" spans="1:20" ht="17.100000000000001" customHeight="1" x14ac:dyDescent="0.25">
      <c r="A217" s="148"/>
      <c r="B217" s="148"/>
      <c r="D217" s="8"/>
      <c r="E217" s="57"/>
      <c r="F217" s="12"/>
      <c r="G217" s="57" t="s">
        <v>948</v>
      </c>
      <c r="H217" s="12" t="s">
        <v>949</v>
      </c>
      <c r="I217" s="57"/>
      <c r="J217" s="57"/>
      <c r="K217" s="57" t="s">
        <v>950</v>
      </c>
      <c r="L217" s="57" t="s">
        <v>950</v>
      </c>
      <c r="M217" s="57" t="s">
        <v>951</v>
      </c>
      <c r="N217" s="12" t="s">
        <v>806</v>
      </c>
      <c r="O217" s="12"/>
      <c r="P217" s="57" t="s">
        <v>950</v>
      </c>
      <c r="Q217" s="57" t="s">
        <v>950</v>
      </c>
      <c r="R217" s="57" t="s">
        <v>951</v>
      </c>
      <c r="S217" s="57" t="s">
        <v>806</v>
      </c>
      <c r="T217" s="57"/>
    </row>
    <row r="218" spans="1:20" ht="17.100000000000001" customHeight="1" x14ac:dyDescent="0.25">
      <c r="A218" s="148"/>
      <c r="B218" s="148"/>
      <c r="D218" s="57" t="s">
        <v>313</v>
      </c>
      <c r="E218" s="57" t="s">
        <v>314</v>
      </c>
      <c r="F218" s="57"/>
      <c r="G218" s="57" t="s">
        <v>952</v>
      </c>
      <c r="H218" s="57" t="s">
        <v>950</v>
      </c>
      <c r="I218" s="12" t="s">
        <v>948</v>
      </c>
      <c r="J218" s="12"/>
      <c r="K218" s="12" t="s">
        <v>953</v>
      </c>
      <c r="L218" s="12" t="s">
        <v>954</v>
      </c>
      <c r="M218" s="12" t="s">
        <v>950</v>
      </c>
      <c r="N218" s="57" t="s">
        <v>335</v>
      </c>
      <c r="O218" s="57"/>
      <c r="P218" s="12" t="s">
        <v>953</v>
      </c>
      <c r="Q218" s="12" t="s">
        <v>954</v>
      </c>
      <c r="R218" s="12" t="s">
        <v>950</v>
      </c>
      <c r="S218" s="12" t="s">
        <v>335</v>
      </c>
      <c r="T218" s="12" t="s">
        <v>855</v>
      </c>
    </row>
    <row r="219" spans="1:20" ht="17.100000000000001" customHeight="1" thickBot="1" x14ac:dyDescent="0.3">
      <c r="A219" s="148"/>
      <c r="B219" s="148"/>
      <c r="D219" s="58" t="s">
        <v>319</v>
      </c>
      <c r="E219" s="58" t="s">
        <v>953</v>
      </c>
      <c r="F219" s="58"/>
      <c r="G219" s="58" t="s">
        <v>955</v>
      </c>
      <c r="H219" s="58" t="s">
        <v>710</v>
      </c>
      <c r="I219" s="14" t="s">
        <v>710</v>
      </c>
      <c r="J219" s="14"/>
      <c r="K219" s="14" t="s">
        <v>956</v>
      </c>
      <c r="L219" s="14" t="s">
        <v>956</v>
      </c>
      <c r="M219" s="14" t="s">
        <v>956</v>
      </c>
      <c r="N219" s="14" t="s">
        <v>317</v>
      </c>
      <c r="O219" s="14"/>
      <c r="P219" s="14" t="s">
        <v>956</v>
      </c>
      <c r="Q219" s="14" t="s">
        <v>956</v>
      </c>
      <c r="R219" s="14" t="s">
        <v>956</v>
      </c>
      <c r="S219" s="14" t="s">
        <v>317</v>
      </c>
      <c r="T219" s="14" t="s">
        <v>325</v>
      </c>
    </row>
    <row r="220" spans="1:20" ht="17.100000000000001" customHeight="1" x14ac:dyDescent="0.25">
      <c r="A220" s="148"/>
      <c r="B220" s="148"/>
      <c r="D220" s="57">
        <v>1</v>
      </c>
      <c r="E220" s="225" t="s">
        <v>925</v>
      </c>
      <c r="F220" s="225"/>
      <c r="G220" s="8"/>
      <c r="H220" s="8"/>
      <c r="I220" s="8"/>
      <c r="J220" s="8"/>
      <c r="K220" s="8"/>
      <c r="L220" s="8"/>
      <c r="M220" s="8"/>
      <c r="N220" s="8"/>
      <c r="O220" s="35"/>
      <c r="P220" s="35"/>
      <c r="Q220" s="35"/>
      <c r="R220" s="35"/>
      <c r="S220" s="35"/>
      <c r="T220" s="35"/>
    </row>
    <row r="221" spans="1:20" ht="17.100000000000001" customHeight="1" x14ac:dyDescent="0.25">
      <c r="A221" s="148"/>
      <c r="B221" s="148"/>
      <c r="D221" s="57">
        <v>2</v>
      </c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</row>
    <row r="222" spans="1:20" ht="17.100000000000001" customHeight="1" x14ac:dyDescent="0.25">
      <c r="A222" s="148"/>
      <c r="B222" s="148"/>
      <c r="D222" s="57">
        <v>3</v>
      </c>
      <c r="E222" s="385" t="s">
        <v>1140</v>
      </c>
      <c r="F222" s="385"/>
      <c r="O222" s="153"/>
      <c r="P222" s="153"/>
    </row>
    <row r="223" spans="1:20" ht="17.100000000000001" customHeight="1" x14ac:dyDescent="0.25">
      <c r="A223" s="148">
        <v>901</v>
      </c>
      <c r="B223" s="148"/>
      <c r="D223" s="57">
        <v>4</v>
      </c>
      <c r="E223" s="199" t="s">
        <v>1141</v>
      </c>
      <c r="F223" s="155" t="s">
        <v>1103</v>
      </c>
      <c r="G223" s="32">
        <f>+SUMIFS('2025 Lighting BDs'!C:C,'2025 Lighting BDs'!B:B,'E-13d'!A223)</f>
        <v>0</v>
      </c>
      <c r="H223" s="32">
        <v>8</v>
      </c>
      <c r="I223" s="150">
        <f t="shared" ref="I223:I243" si="57">+H223*G223</f>
        <v>0</v>
      </c>
      <c r="K223" s="39">
        <f>+SUMIFS('2026 Lighting Rates'!B:B,'2026 Lighting Rates'!A:A,A223)</f>
        <v>7.64</v>
      </c>
      <c r="L223" s="39">
        <f>+SUMIFS('2026 Lighting Rates'!C:C,'2026 Lighting Rates'!A:A,A223)</f>
        <v>1.74</v>
      </c>
      <c r="M223" s="47">
        <f t="shared" ref="M223:M243" si="58">+K223+L223</f>
        <v>9.379999999999999</v>
      </c>
      <c r="N223" s="31">
        <f t="shared" ref="N223:N243" si="59">+M223*G223</f>
        <v>0</v>
      </c>
      <c r="O223" s="153"/>
      <c r="P223" s="47">
        <f t="shared" ref="P223:P243" si="60">+K223</f>
        <v>7.64</v>
      </c>
      <c r="Q223" s="47">
        <f t="shared" ref="Q223:Q243" si="61">+L223</f>
        <v>1.74</v>
      </c>
      <c r="R223" s="47">
        <f>+P223+Q223</f>
        <v>9.379999999999999</v>
      </c>
      <c r="S223" s="31">
        <f t="shared" ref="S223:S243" si="62">+R223*G223</f>
        <v>0</v>
      </c>
      <c r="T223" s="183">
        <f t="shared" ref="T223:T243" si="63">IF(S223=0,0,(S223-N223)/N223)</f>
        <v>0</v>
      </c>
    </row>
    <row r="224" spans="1:20" ht="17.100000000000001" customHeight="1" x14ac:dyDescent="0.25">
      <c r="A224" s="148">
        <v>902</v>
      </c>
      <c r="B224" s="148"/>
      <c r="D224" s="57">
        <v>5</v>
      </c>
      <c r="E224" s="199" t="s">
        <v>1142</v>
      </c>
      <c r="F224" s="155" t="s">
        <v>1105</v>
      </c>
      <c r="G224" s="32">
        <f>+SUMIFS('2025 Lighting BDs'!C:C,'2025 Lighting BDs'!B:B,'E-13d'!A224)</f>
        <v>0</v>
      </c>
      <c r="H224" s="32">
        <v>15</v>
      </c>
      <c r="I224" s="150">
        <f t="shared" si="57"/>
        <v>0</v>
      </c>
      <c r="K224" s="39">
        <f>+SUMIFS('2026 Lighting Rates'!B:B,'2026 Lighting Rates'!A:A,A224)</f>
        <v>11.82</v>
      </c>
      <c r="L224" s="39">
        <f>+SUMIFS('2026 Lighting Rates'!C:C,'2026 Lighting Rates'!A:A,A224)</f>
        <v>1.74</v>
      </c>
      <c r="M224" s="47">
        <f t="shared" si="58"/>
        <v>13.56</v>
      </c>
      <c r="N224" s="31">
        <f t="shared" si="59"/>
        <v>0</v>
      </c>
      <c r="O224" s="153"/>
      <c r="P224" s="47">
        <f t="shared" si="60"/>
        <v>11.82</v>
      </c>
      <c r="Q224" s="47">
        <f t="shared" si="61"/>
        <v>1.74</v>
      </c>
      <c r="R224" s="47">
        <f t="shared" ref="R224:R243" si="64">+P224+Q224</f>
        <v>13.56</v>
      </c>
      <c r="S224" s="31">
        <f t="shared" si="62"/>
        <v>0</v>
      </c>
      <c r="T224" s="183">
        <f t="shared" si="63"/>
        <v>0</v>
      </c>
    </row>
    <row r="225" spans="1:20" ht="17.100000000000001" customHeight="1" x14ac:dyDescent="0.25">
      <c r="A225" s="148">
        <v>903</v>
      </c>
      <c r="B225" s="148"/>
      <c r="D225" s="57">
        <v>6</v>
      </c>
      <c r="E225" s="199" t="s">
        <v>1143</v>
      </c>
      <c r="F225" s="155" t="s">
        <v>1109</v>
      </c>
      <c r="G225" s="32">
        <f>+SUMIFS('2025 Lighting BDs'!C:C,'2025 Lighting BDs'!B:B,'E-13d'!A225)</f>
        <v>12</v>
      </c>
      <c r="H225" s="32">
        <v>23</v>
      </c>
      <c r="I225" s="150">
        <f t="shared" si="57"/>
        <v>276</v>
      </c>
      <c r="K225" s="39">
        <f>+SUMIFS('2026 Lighting Rates'!B:B,'2026 Lighting Rates'!A:A,A225)</f>
        <v>20.41</v>
      </c>
      <c r="L225" s="39">
        <f>+SUMIFS('2026 Lighting Rates'!C:C,'2026 Lighting Rates'!A:A,A225)</f>
        <v>1.38</v>
      </c>
      <c r="M225" s="47">
        <f t="shared" si="58"/>
        <v>21.79</v>
      </c>
      <c r="N225" s="31">
        <f t="shared" si="59"/>
        <v>261.48</v>
      </c>
      <c r="O225" s="153"/>
      <c r="P225" s="47">
        <f t="shared" si="60"/>
        <v>20.41</v>
      </c>
      <c r="Q225" s="47">
        <f t="shared" si="61"/>
        <v>1.38</v>
      </c>
      <c r="R225" s="47">
        <f t="shared" si="64"/>
        <v>21.79</v>
      </c>
      <c r="S225" s="31">
        <f t="shared" si="62"/>
        <v>261.48</v>
      </c>
      <c r="T225" s="183">
        <f t="shared" si="63"/>
        <v>0</v>
      </c>
    </row>
    <row r="226" spans="1:20" ht="17.100000000000001" customHeight="1" x14ac:dyDescent="0.25">
      <c r="A226" s="148">
        <v>904</v>
      </c>
      <c r="B226" s="148"/>
      <c r="D226" s="57">
        <v>7</v>
      </c>
      <c r="E226" s="199" t="s">
        <v>1144</v>
      </c>
      <c r="F226" s="155" t="s">
        <v>1111</v>
      </c>
      <c r="G226" s="32">
        <f>+SUMIFS('2025 Lighting BDs'!C:C,'2025 Lighting BDs'!B:B,'E-13d'!A226)</f>
        <v>0</v>
      </c>
      <c r="H226" s="32">
        <v>25</v>
      </c>
      <c r="I226" s="150">
        <f t="shared" si="57"/>
        <v>0</v>
      </c>
      <c r="K226" s="39">
        <f>+SUMIFS('2026 Lighting Rates'!B:B,'2026 Lighting Rates'!A:A,A226)</f>
        <v>15.21</v>
      </c>
      <c r="L226" s="39">
        <f>+SUMIFS('2026 Lighting Rates'!C:C,'2026 Lighting Rates'!A:A,A226)</f>
        <v>1.41</v>
      </c>
      <c r="M226" s="47">
        <f t="shared" si="58"/>
        <v>16.62</v>
      </c>
      <c r="N226" s="31">
        <f t="shared" si="59"/>
        <v>0</v>
      </c>
      <c r="O226" s="153"/>
      <c r="P226" s="47">
        <f t="shared" si="60"/>
        <v>15.21</v>
      </c>
      <c r="Q226" s="47">
        <f t="shared" si="61"/>
        <v>1.41</v>
      </c>
      <c r="R226" s="47">
        <f t="shared" si="64"/>
        <v>16.62</v>
      </c>
      <c r="S226" s="31">
        <f t="shared" si="62"/>
        <v>0</v>
      </c>
      <c r="T226" s="183">
        <f t="shared" si="63"/>
        <v>0</v>
      </c>
    </row>
    <row r="227" spans="1:20" ht="17.100000000000001" customHeight="1" x14ac:dyDescent="0.25">
      <c r="A227" s="148">
        <v>905</v>
      </c>
      <c r="B227" s="148"/>
      <c r="D227" s="57">
        <v>8</v>
      </c>
      <c r="E227" s="199" t="s">
        <v>1145</v>
      </c>
      <c r="F227" s="155" t="s">
        <v>1113</v>
      </c>
      <c r="G227" s="32">
        <f>+SUMIFS('2025 Lighting BDs'!C:C,'2025 Lighting BDs'!B:B,'E-13d'!A227)</f>
        <v>0</v>
      </c>
      <c r="H227" s="32">
        <v>26</v>
      </c>
      <c r="I227" s="150">
        <f t="shared" si="57"/>
        <v>0</v>
      </c>
      <c r="K227" s="39">
        <f>+SUMIFS('2026 Lighting Rates'!B:B,'2026 Lighting Rates'!A:A,A227)</f>
        <v>11.57</v>
      </c>
      <c r="L227" s="39">
        <f>+SUMIFS('2026 Lighting Rates'!C:C,'2026 Lighting Rates'!A:A,A227)</f>
        <v>2.2599999999999998</v>
      </c>
      <c r="M227" s="47">
        <f t="shared" si="58"/>
        <v>13.83</v>
      </c>
      <c r="N227" s="31">
        <f t="shared" si="59"/>
        <v>0</v>
      </c>
      <c r="O227" s="153"/>
      <c r="P227" s="47">
        <f t="shared" si="60"/>
        <v>11.57</v>
      </c>
      <c r="Q227" s="47">
        <f t="shared" si="61"/>
        <v>2.2599999999999998</v>
      </c>
      <c r="R227" s="47">
        <f t="shared" si="64"/>
        <v>13.83</v>
      </c>
      <c r="S227" s="31">
        <f t="shared" si="62"/>
        <v>0</v>
      </c>
      <c r="T227" s="183">
        <f t="shared" si="63"/>
        <v>0</v>
      </c>
    </row>
    <row r="228" spans="1:20" ht="17.100000000000001" customHeight="1" x14ac:dyDescent="0.25">
      <c r="A228" s="148">
        <v>906</v>
      </c>
      <c r="B228" s="148"/>
      <c r="D228" s="57">
        <v>9</v>
      </c>
      <c r="E228" s="199" t="s">
        <v>1146</v>
      </c>
      <c r="F228" s="155" t="s">
        <v>1117</v>
      </c>
      <c r="G228" s="32">
        <f>+SUMIFS('2025 Lighting BDs'!C:C,'2025 Lighting BDs'!B:B,'E-13d'!A228)</f>
        <v>0</v>
      </c>
      <c r="H228" s="32">
        <v>43</v>
      </c>
      <c r="I228" s="150">
        <f t="shared" si="57"/>
        <v>0</v>
      </c>
      <c r="K228" s="39">
        <f>+SUMIFS('2026 Lighting Rates'!B:B,'2026 Lighting Rates'!A:A,A228)</f>
        <v>21.2</v>
      </c>
      <c r="L228" s="39">
        <f>+SUMIFS('2026 Lighting Rates'!C:C,'2026 Lighting Rates'!A:A,A228)</f>
        <v>2.5099999999999998</v>
      </c>
      <c r="M228" s="47">
        <f t="shared" si="58"/>
        <v>23.71</v>
      </c>
      <c r="N228" s="31">
        <f t="shared" si="59"/>
        <v>0</v>
      </c>
      <c r="O228" s="153"/>
      <c r="P228" s="47">
        <f t="shared" si="60"/>
        <v>21.2</v>
      </c>
      <c r="Q228" s="47">
        <f t="shared" si="61"/>
        <v>2.5099999999999998</v>
      </c>
      <c r="R228" s="47">
        <f t="shared" si="64"/>
        <v>23.71</v>
      </c>
      <c r="S228" s="31">
        <f t="shared" si="62"/>
        <v>0</v>
      </c>
      <c r="T228" s="183">
        <f t="shared" si="63"/>
        <v>0</v>
      </c>
    </row>
    <row r="229" spans="1:20" ht="17.100000000000001" customHeight="1" x14ac:dyDescent="0.25">
      <c r="A229" s="148">
        <v>907</v>
      </c>
      <c r="B229" s="148"/>
      <c r="D229" s="57">
        <v>10</v>
      </c>
      <c r="E229" s="199" t="s">
        <v>1147</v>
      </c>
      <c r="F229" s="155" t="s">
        <v>1127</v>
      </c>
      <c r="G229" s="32">
        <f>+SUMIFS('2025 Lighting BDs'!C:C,'2025 Lighting BDs'!B:B,'E-13d'!A229)</f>
        <v>0</v>
      </c>
      <c r="H229" s="32">
        <v>58</v>
      </c>
      <c r="I229" s="150">
        <f t="shared" si="57"/>
        <v>0</v>
      </c>
      <c r="K229" s="39">
        <f>+SUMIFS('2026 Lighting Rates'!B:B,'2026 Lighting Rates'!A:A,A229)</f>
        <v>22.22</v>
      </c>
      <c r="L229" s="39">
        <f>+SUMIFS('2026 Lighting Rates'!C:C,'2026 Lighting Rates'!A:A,A229)</f>
        <v>3.6</v>
      </c>
      <c r="M229" s="47">
        <f t="shared" si="58"/>
        <v>25.82</v>
      </c>
      <c r="N229" s="31">
        <f t="shared" si="59"/>
        <v>0</v>
      </c>
      <c r="O229" s="153"/>
      <c r="P229" s="47">
        <f t="shared" si="60"/>
        <v>22.22</v>
      </c>
      <c r="Q229" s="47">
        <f t="shared" si="61"/>
        <v>3.6</v>
      </c>
      <c r="R229" s="47">
        <f t="shared" si="64"/>
        <v>25.82</v>
      </c>
      <c r="S229" s="31">
        <f t="shared" si="62"/>
        <v>0</v>
      </c>
      <c r="T229" s="183">
        <f t="shared" si="63"/>
        <v>0</v>
      </c>
    </row>
    <row r="230" spans="1:20" ht="17.100000000000001" customHeight="1" x14ac:dyDescent="0.25">
      <c r="A230" s="148">
        <v>981</v>
      </c>
      <c r="B230" s="148"/>
      <c r="D230" s="57">
        <v>11</v>
      </c>
      <c r="E230" s="233" t="s">
        <v>1148</v>
      </c>
      <c r="F230" s="155" t="s">
        <v>1101</v>
      </c>
      <c r="G230" s="32">
        <f>+SUMIFS('2025 Lighting BDs'!C:C,'2025 Lighting BDs'!B:B,'E-13d'!A230)</f>
        <v>156</v>
      </c>
      <c r="H230" s="32">
        <v>5</v>
      </c>
      <c r="I230" s="32">
        <f t="shared" si="57"/>
        <v>780</v>
      </c>
      <c r="J230" s="8"/>
      <c r="K230" s="39">
        <f>+SUMIFS('2026 Lighting Rates'!B:B,'2026 Lighting Rates'!A:A,A230)</f>
        <v>7.72</v>
      </c>
      <c r="L230" s="39">
        <f>+SUMIFS('2026 Lighting Rates'!C:C,'2026 Lighting Rates'!A:A,A230)</f>
        <v>1.74</v>
      </c>
      <c r="M230" s="47">
        <f t="shared" si="58"/>
        <v>9.4599999999999991</v>
      </c>
      <c r="N230" s="31">
        <f t="shared" si="59"/>
        <v>1475.7599999999998</v>
      </c>
      <c r="O230" s="8"/>
      <c r="P230" s="47">
        <f t="shared" si="60"/>
        <v>7.72</v>
      </c>
      <c r="Q230" s="47">
        <f t="shared" si="61"/>
        <v>1.74</v>
      </c>
      <c r="R230" s="47">
        <f t="shared" si="64"/>
        <v>9.4599999999999991</v>
      </c>
      <c r="S230" s="31">
        <f t="shared" si="62"/>
        <v>1475.7599999999998</v>
      </c>
      <c r="T230" s="183">
        <f t="shared" si="63"/>
        <v>0</v>
      </c>
    </row>
    <row r="231" spans="1:20" ht="17.100000000000001" customHeight="1" x14ac:dyDescent="0.25">
      <c r="A231" s="148">
        <v>982</v>
      </c>
      <c r="B231" s="148"/>
      <c r="D231" s="57">
        <v>12</v>
      </c>
      <c r="E231" s="233" t="s">
        <v>1149</v>
      </c>
      <c r="F231" s="155" t="s">
        <v>1107</v>
      </c>
      <c r="G231" s="32">
        <f>+SUMIFS('2025 Lighting BDs'!C:C,'2025 Lighting BDs'!B:B,'E-13d'!A231)</f>
        <v>317</v>
      </c>
      <c r="H231" s="32">
        <v>18</v>
      </c>
      <c r="I231" s="32">
        <f t="shared" si="57"/>
        <v>5706</v>
      </c>
      <c r="J231" s="8"/>
      <c r="K231" s="39">
        <f>+SUMIFS('2026 Lighting Rates'!B:B,'2026 Lighting Rates'!A:A,A231)</f>
        <v>10.85</v>
      </c>
      <c r="L231" s="39">
        <f>+SUMIFS('2026 Lighting Rates'!C:C,'2026 Lighting Rates'!A:A,A231)</f>
        <v>1.19</v>
      </c>
      <c r="M231" s="47">
        <f t="shared" si="58"/>
        <v>12.04</v>
      </c>
      <c r="N231" s="31">
        <f t="shared" si="59"/>
        <v>3816.68</v>
      </c>
      <c r="O231" s="8"/>
      <c r="P231" s="47">
        <f t="shared" si="60"/>
        <v>10.85</v>
      </c>
      <c r="Q231" s="47">
        <f t="shared" si="61"/>
        <v>1.19</v>
      </c>
      <c r="R231" s="47">
        <f t="shared" si="64"/>
        <v>12.04</v>
      </c>
      <c r="S231" s="31">
        <f t="shared" si="62"/>
        <v>3816.68</v>
      </c>
      <c r="T231" s="183">
        <f t="shared" si="63"/>
        <v>0</v>
      </c>
    </row>
    <row r="232" spans="1:20" ht="17.100000000000001" customHeight="1" x14ac:dyDescent="0.25">
      <c r="A232" s="148">
        <v>983</v>
      </c>
      <c r="B232" s="148"/>
      <c r="D232" s="57">
        <v>13</v>
      </c>
      <c r="E232" s="233" t="s">
        <v>1150</v>
      </c>
      <c r="F232" s="155" t="s">
        <v>1115</v>
      </c>
      <c r="G232" s="32">
        <f>+SUMIFS('2025 Lighting BDs'!C:C,'2025 Lighting BDs'!B:B,'E-13d'!A232)</f>
        <v>449</v>
      </c>
      <c r="H232" s="32">
        <v>32</v>
      </c>
      <c r="I232" s="32">
        <f t="shared" si="57"/>
        <v>14368</v>
      </c>
      <c r="J232" s="8"/>
      <c r="K232" s="39">
        <f>+SUMIFS('2026 Lighting Rates'!B:B,'2026 Lighting Rates'!A:A,A232)</f>
        <v>14.74</v>
      </c>
      <c r="L232" s="39">
        <f>+SUMIFS('2026 Lighting Rates'!C:C,'2026 Lighting Rates'!A:A,A232)</f>
        <v>2.5099999999999998</v>
      </c>
      <c r="M232" s="47">
        <f t="shared" si="58"/>
        <v>17.25</v>
      </c>
      <c r="N232" s="31">
        <f t="shared" si="59"/>
        <v>7745.25</v>
      </c>
      <c r="O232" s="8"/>
      <c r="P232" s="47">
        <f t="shared" si="60"/>
        <v>14.74</v>
      </c>
      <c r="Q232" s="47">
        <f t="shared" si="61"/>
        <v>2.5099999999999998</v>
      </c>
      <c r="R232" s="47">
        <f t="shared" si="64"/>
        <v>17.25</v>
      </c>
      <c r="S232" s="31">
        <f t="shared" si="62"/>
        <v>7745.25</v>
      </c>
      <c r="T232" s="183">
        <f t="shared" si="63"/>
        <v>0</v>
      </c>
    </row>
    <row r="233" spans="1:20" ht="17.100000000000001" customHeight="1" x14ac:dyDescent="0.25">
      <c r="A233" s="148">
        <v>984</v>
      </c>
      <c r="B233" s="148"/>
      <c r="D233" s="57">
        <v>14</v>
      </c>
      <c r="E233" s="233" t="s">
        <v>1151</v>
      </c>
      <c r="F233" s="155" t="s">
        <v>1119</v>
      </c>
      <c r="G233" s="32">
        <f>+SUMIFS('2025 Lighting BDs'!C:C,'2025 Lighting BDs'!B:B,'E-13d'!A233)</f>
        <v>593</v>
      </c>
      <c r="H233" s="32">
        <v>58</v>
      </c>
      <c r="I233" s="32">
        <f t="shared" si="57"/>
        <v>34394</v>
      </c>
      <c r="K233" s="39">
        <f>+SUMIFS('2026 Lighting Rates'!B:B,'2026 Lighting Rates'!A:A,A233)</f>
        <v>26.6</v>
      </c>
      <c r="L233" s="39">
        <f>+SUMIFS('2026 Lighting Rates'!C:C,'2026 Lighting Rates'!A:A,A233)</f>
        <v>1.55</v>
      </c>
      <c r="M233" s="47">
        <f t="shared" si="58"/>
        <v>28.150000000000002</v>
      </c>
      <c r="N233" s="31">
        <f t="shared" si="59"/>
        <v>16692.95</v>
      </c>
      <c r="P233" s="47">
        <f t="shared" si="60"/>
        <v>26.6</v>
      </c>
      <c r="Q233" s="47">
        <f t="shared" si="61"/>
        <v>1.55</v>
      </c>
      <c r="R233" s="47">
        <f t="shared" si="64"/>
        <v>28.150000000000002</v>
      </c>
      <c r="S233" s="31">
        <f t="shared" si="62"/>
        <v>16692.95</v>
      </c>
      <c r="T233" s="183">
        <f t="shared" si="63"/>
        <v>0</v>
      </c>
    </row>
    <row r="234" spans="1:20" ht="17.100000000000001" customHeight="1" x14ac:dyDescent="0.25">
      <c r="A234" s="148">
        <v>985</v>
      </c>
      <c r="B234" s="148"/>
      <c r="D234" s="57">
        <v>15</v>
      </c>
      <c r="E234" s="233" t="s">
        <v>1152</v>
      </c>
      <c r="F234" s="155" t="s">
        <v>1121</v>
      </c>
      <c r="G234" s="32">
        <f>+SUMIFS('2025 Lighting BDs'!C:C,'2025 Lighting BDs'!B:B,'E-13d'!A234)</f>
        <v>96</v>
      </c>
      <c r="H234" s="32">
        <v>35</v>
      </c>
      <c r="I234" s="32">
        <f t="shared" si="57"/>
        <v>3360</v>
      </c>
      <c r="K234" s="39">
        <f>+SUMIFS('2026 Lighting Rates'!B:B,'2026 Lighting Rates'!A:A,A234)</f>
        <v>16.510000000000002</v>
      </c>
      <c r="L234" s="39">
        <f>+SUMIFS('2026 Lighting Rates'!C:C,'2026 Lighting Rates'!A:A,A234)</f>
        <v>3.45</v>
      </c>
      <c r="M234" s="47">
        <f t="shared" si="58"/>
        <v>19.96</v>
      </c>
      <c r="N234" s="31">
        <f t="shared" si="59"/>
        <v>1916.16</v>
      </c>
      <c r="P234" s="47">
        <f t="shared" si="60"/>
        <v>16.510000000000002</v>
      </c>
      <c r="Q234" s="47">
        <f t="shared" si="61"/>
        <v>3.45</v>
      </c>
      <c r="R234" s="47">
        <f t="shared" si="64"/>
        <v>19.96</v>
      </c>
      <c r="S234" s="31">
        <f t="shared" si="62"/>
        <v>1916.16</v>
      </c>
      <c r="T234" s="183">
        <f t="shared" si="63"/>
        <v>0</v>
      </c>
    </row>
    <row r="235" spans="1:20" ht="17.100000000000001" customHeight="1" x14ac:dyDescent="0.25">
      <c r="A235" s="148">
        <v>986</v>
      </c>
      <c r="B235" s="148"/>
      <c r="D235" s="57">
        <v>16</v>
      </c>
      <c r="E235" s="233" t="s">
        <v>1153</v>
      </c>
      <c r="F235" s="155" t="s">
        <v>1123</v>
      </c>
      <c r="G235" s="32">
        <f>+SUMIFS('2025 Lighting BDs'!C:C,'2025 Lighting BDs'!B:B,'E-13d'!A235)</f>
        <v>60</v>
      </c>
      <c r="H235" s="32">
        <v>45</v>
      </c>
      <c r="I235" s="32">
        <f t="shared" si="57"/>
        <v>2700</v>
      </c>
      <c r="K235" s="39">
        <f>+SUMIFS('2026 Lighting Rates'!B:B,'2026 Lighting Rates'!A:A,A235)</f>
        <v>27.78</v>
      </c>
      <c r="L235" s="39">
        <f>+SUMIFS('2026 Lighting Rates'!C:C,'2026 Lighting Rates'!A:A,A235)</f>
        <v>4.0999999999999996</v>
      </c>
      <c r="M235" s="47">
        <f t="shared" si="58"/>
        <v>31.880000000000003</v>
      </c>
      <c r="N235" s="31">
        <f t="shared" si="59"/>
        <v>1912.8000000000002</v>
      </c>
      <c r="P235" s="47">
        <f t="shared" si="60"/>
        <v>27.78</v>
      </c>
      <c r="Q235" s="47">
        <f t="shared" si="61"/>
        <v>4.0999999999999996</v>
      </c>
      <c r="R235" s="47">
        <f t="shared" si="64"/>
        <v>31.880000000000003</v>
      </c>
      <c r="S235" s="31">
        <f t="shared" si="62"/>
        <v>1912.8000000000002</v>
      </c>
      <c r="T235" s="183">
        <f t="shared" si="63"/>
        <v>0</v>
      </c>
    </row>
    <row r="236" spans="1:20" ht="17.100000000000001" customHeight="1" x14ac:dyDescent="0.25">
      <c r="A236" s="148">
        <v>987</v>
      </c>
      <c r="B236" s="148"/>
      <c r="D236" s="57">
        <v>17</v>
      </c>
      <c r="E236" s="233" t="s">
        <v>1154</v>
      </c>
      <c r="F236" s="155" t="s">
        <v>1125</v>
      </c>
      <c r="G236" s="32">
        <f>+SUMIFS('2025 Lighting BDs'!C:C,'2025 Lighting BDs'!B:B,'E-13d'!A236)</f>
        <v>12</v>
      </c>
      <c r="H236" s="32">
        <v>39</v>
      </c>
      <c r="I236" s="32">
        <f t="shared" si="57"/>
        <v>468</v>
      </c>
      <c r="K236" s="39">
        <f>+SUMIFS('2026 Lighting Rates'!B:B,'2026 Lighting Rates'!A:A,A236)</f>
        <v>17.77</v>
      </c>
      <c r="L236" s="39">
        <f>+SUMIFS('2026 Lighting Rates'!C:C,'2026 Lighting Rates'!A:A,A236)</f>
        <v>3.04</v>
      </c>
      <c r="M236" s="47">
        <f t="shared" si="58"/>
        <v>20.81</v>
      </c>
      <c r="N236" s="31">
        <f t="shared" si="59"/>
        <v>249.71999999999997</v>
      </c>
      <c r="P236" s="47">
        <f t="shared" si="60"/>
        <v>17.77</v>
      </c>
      <c r="Q236" s="47">
        <f t="shared" si="61"/>
        <v>3.04</v>
      </c>
      <c r="R236" s="47">
        <f t="shared" si="64"/>
        <v>20.81</v>
      </c>
      <c r="S236" s="31">
        <f t="shared" si="62"/>
        <v>249.71999999999997</v>
      </c>
      <c r="T236" s="183">
        <f t="shared" si="63"/>
        <v>0</v>
      </c>
    </row>
    <row r="237" spans="1:20" ht="17.100000000000001" customHeight="1" x14ac:dyDescent="0.25">
      <c r="A237" s="148">
        <v>988</v>
      </c>
      <c r="B237" s="148"/>
      <c r="D237" s="57">
        <v>18</v>
      </c>
      <c r="E237" s="233" t="s">
        <v>1155</v>
      </c>
      <c r="F237" s="155" t="s">
        <v>1131</v>
      </c>
      <c r="G237" s="32">
        <f>+SUMIFS('2025 Lighting BDs'!C:C,'2025 Lighting BDs'!B:B,'E-13d'!A237)</f>
        <v>0</v>
      </c>
      <c r="H237" s="32">
        <v>7</v>
      </c>
      <c r="I237" s="32">
        <f t="shared" si="57"/>
        <v>0</v>
      </c>
      <c r="K237" s="39">
        <f>+SUMIFS('2026 Lighting Rates'!B:B,'2026 Lighting Rates'!A:A,A237)</f>
        <v>18.5</v>
      </c>
      <c r="L237" s="39">
        <f>+SUMIFS('2026 Lighting Rates'!C:C,'2026 Lighting Rates'!A:A,A237)</f>
        <v>2.2799999999999998</v>
      </c>
      <c r="M237" s="47">
        <f t="shared" si="58"/>
        <v>20.78</v>
      </c>
      <c r="N237" s="31">
        <f t="shared" si="59"/>
        <v>0</v>
      </c>
      <c r="P237" s="47">
        <f t="shared" si="60"/>
        <v>18.5</v>
      </c>
      <c r="Q237" s="47">
        <f t="shared" si="61"/>
        <v>2.2799999999999998</v>
      </c>
      <c r="R237" s="47">
        <f t="shared" si="64"/>
        <v>20.78</v>
      </c>
      <c r="S237" s="31">
        <f t="shared" si="62"/>
        <v>0</v>
      </c>
      <c r="T237" s="183">
        <f t="shared" si="63"/>
        <v>0</v>
      </c>
    </row>
    <row r="238" spans="1:20" ht="17.100000000000001" customHeight="1" x14ac:dyDescent="0.25">
      <c r="A238" s="148">
        <v>989</v>
      </c>
      <c r="B238" s="148"/>
      <c r="D238" s="57">
        <v>19</v>
      </c>
      <c r="E238" s="242" t="s">
        <v>1156</v>
      </c>
      <c r="F238" s="155" t="s">
        <v>1131</v>
      </c>
      <c r="G238" s="32">
        <f>+SUMIFS('2025 Lighting BDs'!C:C,'2025 Lighting BDs'!B:B,'E-13d'!A238)</f>
        <v>0</v>
      </c>
      <c r="H238" s="32">
        <v>7</v>
      </c>
      <c r="I238" s="32">
        <f t="shared" si="57"/>
        <v>0</v>
      </c>
      <c r="K238" s="39">
        <f>+SUMIFS('2026 Lighting Rates'!B:B,'2026 Lighting Rates'!A:A,A238)</f>
        <v>22.1</v>
      </c>
      <c r="L238" s="39">
        <f>+SUMIFS('2026 Lighting Rates'!C:C,'2026 Lighting Rates'!A:A,A238)</f>
        <v>2.2799999999999998</v>
      </c>
      <c r="M238" s="47">
        <f t="shared" si="58"/>
        <v>24.380000000000003</v>
      </c>
      <c r="N238" s="31">
        <f t="shared" si="59"/>
        <v>0</v>
      </c>
      <c r="P238" s="47">
        <f t="shared" si="60"/>
        <v>22.1</v>
      </c>
      <c r="Q238" s="47">
        <f t="shared" si="61"/>
        <v>2.2799999999999998</v>
      </c>
      <c r="R238" s="47">
        <f t="shared" si="64"/>
        <v>24.380000000000003</v>
      </c>
      <c r="S238" s="31">
        <f t="shared" si="62"/>
        <v>0</v>
      </c>
      <c r="T238" s="183">
        <f t="shared" si="63"/>
        <v>0</v>
      </c>
    </row>
    <row r="239" spans="1:20" ht="17.100000000000001" customHeight="1" x14ac:dyDescent="0.25">
      <c r="A239" s="148">
        <v>990</v>
      </c>
      <c r="B239" s="148"/>
      <c r="D239" s="57">
        <v>20</v>
      </c>
      <c r="E239" s="233" t="s">
        <v>1157</v>
      </c>
      <c r="F239" s="155" t="s">
        <v>1138</v>
      </c>
      <c r="G239" s="32">
        <f>+SUMIFS('2025 Lighting BDs'!C:C,'2025 Lighting BDs'!B:B,'E-13d'!A239)</f>
        <v>473</v>
      </c>
      <c r="H239" s="32">
        <v>13</v>
      </c>
      <c r="I239" s="32">
        <f t="shared" si="57"/>
        <v>6149</v>
      </c>
      <c r="K239" s="39">
        <f>+SUMIFS('2026 Lighting Rates'!B:B,'2026 Lighting Rates'!A:A,A239)</f>
        <v>19.57</v>
      </c>
      <c r="L239" s="39">
        <f>+SUMIFS('2026 Lighting Rates'!C:C,'2026 Lighting Rates'!A:A,A239)</f>
        <v>1.54</v>
      </c>
      <c r="M239" s="47">
        <f t="shared" si="58"/>
        <v>21.11</v>
      </c>
      <c r="N239" s="31">
        <f t="shared" si="59"/>
        <v>9985.0299999999988</v>
      </c>
      <c r="P239" s="47">
        <f t="shared" si="60"/>
        <v>19.57</v>
      </c>
      <c r="Q239" s="47">
        <f t="shared" si="61"/>
        <v>1.54</v>
      </c>
      <c r="R239" s="47">
        <f t="shared" si="64"/>
        <v>21.11</v>
      </c>
      <c r="S239" s="31">
        <f t="shared" si="62"/>
        <v>9985.0299999999988</v>
      </c>
      <c r="T239" s="183">
        <f t="shared" si="63"/>
        <v>0</v>
      </c>
    </row>
    <row r="240" spans="1:20" ht="17.100000000000001" customHeight="1" x14ac:dyDescent="0.25">
      <c r="A240" s="148">
        <v>991</v>
      </c>
      <c r="B240" s="148"/>
      <c r="D240" s="57">
        <v>21</v>
      </c>
      <c r="E240" s="233" t="s">
        <v>1158</v>
      </c>
      <c r="F240" s="155" t="s">
        <v>1129</v>
      </c>
      <c r="G240" s="32">
        <f>+SUMIFS('2025 Lighting BDs'!C:C,'2025 Lighting BDs'!B:B,'E-13d'!A240)</f>
        <v>0</v>
      </c>
      <c r="H240" s="32">
        <v>4</v>
      </c>
      <c r="I240" s="150">
        <f t="shared" si="57"/>
        <v>0</v>
      </c>
      <c r="K240" s="39">
        <f>+SUMIFS('2026 Lighting Rates'!B:B,'2026 Lighting Rates'!A:A,A240)</f>
        <v>8.4700000000000006</v>
      </c>
      <c r="L240" s="39">
        <f>+SUMIFS('2026 Lighting Rates'!C:C,'2026 Lighting Rates'!A:A,A240)</f>
        <v>2.2799999999999998</v>
      </c>
      <c r="M240" s="47">
        <f t="shared" si="58"/>
        <v>10.75</v>
      </c>
      <c r="N240" s="157">
        <f t="shared" si="59"/>
        <v>0</v>
      </c>
      <c r="P240" s="47">
        <f t="shared" si="60"/>
        <v>8.4700000000000006</v>
      </c>
      <c r="Q240" s="47">
        <f t="shared" si="61"/>
        <v>2.2799999999999998</v>
      </c>
      <c r="R240" s="47">
        <f t="shared" si="64"/>
        <v>10.75</v>
      </c>
      <c r="S240" s="157">
        <f t="shared" si="62"/>
        <v>0</v>
      </c>
      <c r="T240" s="183">
        <f t="shared" si="63"/>
        <v>0</v>
      </c>
    </row>
    <row r="241" spans="1:20" ht="17.100000000000001" customHeight="1" x14ac:dyDescent="0.25">
      <c r="A241" s="148">
        <v>992</v>
      </c>
      <c r="B241" s="148"/>
      <c r="D241" s="57">
        <v>22</v>
      </c>
      <c r="E241" s="233" t="s">
        <v>1159</v>
      </c>
      <c r="F241" s="155" t="s">
        <v>1134</v>
      </c>
      <c r="G241" s="32">
        <f>+SUMIFS('2025 Lighting BDs'!C:C,'2025 Lighting BDs'!B:B,'E-13d'!A241)</f>
        <v>12</v>
      </c>
      <c r="H241" s="32">
        <v>9</v>
      </c>
      <c r="I241" s="150">
        <f t="shared" si="57"/>
        <v>108</v>
      </c>
      <c r="K241" s="39">
        <f>+SUMIFS('2026 Lighting Rates'!B:B,'2026 Lighting Rates'!A:A,A241)</f>
        <v>15.07</v>
      </c>
      <c r="L241" s="39">
        <f>+SUMIFS('2026 Lighting Rates'!C:C,'2026 Lighting Rates'!A:A,A241)</f>
        <v>1.54</v>
      </c>
      <c r="M241" s="47">
        <f t="shared" si="58"/>
        <v>16.61</v>
      </c>
      <c r="N241" s="157">
        <f t="shared" si="59"/>
        <v>199.32</v>
      </c>
      <c r="P241" s="47">
        <f t="shared" si="60"/>
        <v>15.07</v>
      </c>
      <c r="Q241" s="47">
        <f t="shared" si="61"/>
        <v>1.54</v>
      </c>
      <c r="R241" s="47">
        <f t="shared" si="64"/>
        <v>16.61</v>
      </c>
      <c r="S241" s="157">
        <f t="shared" si="62"/>
        <v>199.32</v>
      </c>
      <c r="T241" s="183">
        <f t="shared" si="63"/>
        <v>0</v>
      </c>
    </row>
    <row r="242" spans="1:20" ht="17.100000000000001" customHeight="1" x14ac:dyDescent="0.25">
      <c r="A242" s="148">
        <v>993</v>
      </c>
      <c r="B242" s="148"/>
      <c r="D242" s="57">
        <v>23</v>
      </c>
      <c r="E242" s="233" t="s">
        <v>1160</v>
      </c>
      <c r="F242" s="155" t="s">
        <v>1057</v>
      </c>
      <c r="G242" s="32">
        <f>+SUMIFS('2025 Lighting BDs'!C:C,'2025 Lighting BDs'!B:B,'E-13d'!A242)</f>
        <v>0</v>
      </c>
      <c r="H242" s="32">
        <v>10</v>
      </c>
      <c r="I242" s="150">
        <f t="shared" si="57"/>
        <v>0</v>
      </c>
      <c r="K242" s="39">
        <f>+SUMIFS('2026 Lighting Rates'!B:B,'2026 Lighting Rates'!A:A,A242)</f>
        <v>20.239999999999998</v>
      </c>
      <c r="L242" s="39">
        <f>+SUMIFS('2026 Lighting Rates'!C:C,'2026 Lighting Rates'!A:A,A242)</f>
        <v>2.2799999999999998</v>
      </c>
      <c r="M242" s="47">
        <f t="shared" si="58"/>
        <v>22.52</v>
      </c>
      <c r="N242" s="157">
        <f t="shared" si="59"/>
        <v>0</v>
      </c>
      <c r="P242" s="47">
        <f t="shared" si="60"/>
        <v>20.239999999999998</v>
      </c>
      <c r="Q242" s="47">
        <f t="shared" si="61"/>
        <v>2.2799999999999998</v>
      </c>
      <c r="R242" s="47">
        <f t="shared" si="64"/>
        <v>22.52</v>
      </c>
      <c r="S242" s="157">
        <f t="shared" si="62"/>
        <v>0</v>
      </c>
      <c r="T242" s="183">
        <f t="shared" si="63"/>
        <v>0</v>
      </c>
    </row>
    <row r="243" spans="1:20" ht="17.100000000000001" customHeight="1" x14ac:dyDescent="0.25">
      <c r="A243" s="148">
        <v>994</v>
      </c>
      <c r="B243" s="148"/>
      <c r="D243" s="57">
        <v>24</v>
      </c>
      <c r="E243" s="233" t="s">
        <v>1161</v>
      </c>
      <c r="F243" s="155" t="s">
        <v>1057</v>
      </c>
      <c r="G243" s="32">
        <f>+SUMIFS('2025 Lighting BDs'!C:C,'2025 Lighting BDs'!B:B,'E-13d'!A243)</f>
        <v>0</v>
      </c>
      <c r="H243" s="32">
        <v>10</v>
      </c>
      <c r="I243" s="150">
        <f t="shared" si="57"/>
        <v>0</v>
      </c>
      <c r="K243" s="39">
        <f>+SUMIFS('2026 Lighting Rates'!B:B,'2026 Lighting Rates'!A:A,A243)</f>
        <v>23.76</v>
      </c>
      <c r="L243" s="39">
        <f>+SUMIFS('2026 Lighting Rates'!C:C,'2026 Lighting Rates'!A:A,A243)</f>
        <v>2.2799999999999998</v>
      </c>
      <c r="M243" s="47">
        <f t="shared" si="58"/>
        <v>26.040000000000003</v>
      </c>
      <c r="N243" s="157">
        <f t="shared" si="59"/>
        <v>0</v>
      </c>
      <c r="P243" s="47">
        <f t="shared" si="60"/>
        <v>23.76</v>
      </c>
      <c r="Q243" s="47">
        <f t="shared" si="61"/>
        <v>2.2799999999999998</v>
      </c>
      <c r="R243" s="47">
        <f t="shared" si="64"/>
        <v>26.040000000000003</v>
      </c>
      <c r="S243" s="157">
        <f t="shared" si="62"/>
        <v>0</v>
      </c>
      <c r="T243" s="183">
        <f t="shared" si="63"/>
        <v>0</v>
      </c>
    </row>
    <row r="244" spans="1:20" ht="17.100000000000001" customHeight="1" x14ac:dyDescent="0.25">
      <c r="A244" s="148"/>
      <c r="B244" s="148"/>
      <c r="D244" s="57">
        <v>25</v>
      </c>
      <c r="E244" s="232" t="s">
        <v>982</v>
      </c>
      <c r="F244" s="233"/>
      <c r="G244" s="233"/>
      <c r="H244" s="233"/>
      <c r="I244" s="33"/>
      <c r="J244" s="33"/>
      <c r="K244" s="233"/>
      <c r="L244" s="233"/>
      <c r="M244" s="233"/>
      <c r="N244" s="247">
        <f>SUM(N223:N243)</f>
        <v>44255.15</v>
      </c>
      <c r="P244" s="233"/>
      <c r="Q244" s="233"/>
      <c r="R244" s="233"/>
      <c r="S244" s="247">
        <f>SUM(S223:S243)</f>
        <v>44255.15</v>
      </c>
      <c r="T244" s="158"/>
    </row>
    <row r="245" spans="1:20" ht="17.100000000000001" customHeight="1" x14ac:dyDescent="0.25">
      <c r="A245" s="148"/>
      <c r="B245" s="148"/>
      <c r="D245" s="57">
        <v>26</v>
      </c>
      <c r="T245" s="248"/>
    </row>
    <row r="246" spans="1:20" ht="17.100000000000001" customHeight="1" x14ac:dyDescent="0.25">
      <c r="A246" s="148"/>
      <c r="B246" s="148"/>
      <c r="D246" s="57">
        <v>27</v>
      </c>
      <c r="E246" s="233" t="s">
        <v>1162</v>
      </c>
      <c r="F246" s="11"/>
      <c r="G246" s="101">
        <f>SUM(G13:G47)+SUM(G66:G99)+SUM(G118:G153)+SUM(G170:G239)</f>
        <v>2922431</v>
      </c>
      <c r="H246" s="32"/>
      <c r="I246" s="101">
        <f>SUM(I13:I47)+SUM(I66:I99)+SUM(I118:I153)+SUM(I170:I239)</f>
        <v>90975748</v>
      </c>
      <c r="J246" s="8"/>
      <c r="K246" s="8"/>
      <c r="L246" s="8"/>
      <c r="M246" s="8"/>
      <c r="N246" s="159">
        <f>N30+N48+N83+N100+N135+N154+N191+N244</f>
        <v>41424938.559999995</v>
      </c>
      <c r="O246" s="245"/>
      <c r="P246" s="245"/>
      <c r="Q246" s="8"/>
      <c r="R246" s="8"/>
      <c r="S246" s="159">
        <f>S30+S48+S83+S100+S135+S154+S191+S244</f>
        <v>41424938.559999995</v>
      </c>
      <c r="T246" s="183">
        <f>IF(S246=0,0,(S246-N246)/N246)</f>
        <v>0</v>
      </c>
    </row>
    <row r="247" spans="1:20" ht="17.100000000000001" customHeight="1" x14ac:dyDescent="0.25">
      <c r="A247" s="148"/>
      <c r="B247" s="148"/>
      <c r="D247" s="57">
        <v>28</v>
      </c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</row>
    <row r="248" spans="1:20" ht="17.100000000000001" customHeight="1" x14ac:dyDescent="0.25">
      <c r="A248" s="148"/>
      <c r="B248" s="148"/>
      <c r="D248" s="57">
        <v>29</v>
      </c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</row>
    <row r="249" spans="1:20" ht="17.100000000000001" customHeight="1" x14ac:dyDescent="0.25">
      <c r="A249" s="148"/>
      <c r="B249" s="148"/>
      <c r="D249" s="57">
        <v>30</v>
      </c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</row>
    <row r="250" spans="1:20" ht="17.100000000000001" customHeight="1" x14ac:dyDescent="0.25">
      <c r="A250" s="148"/>
      <c r="B250" s="148"/>
      <c r="D250" s="57">
        <v>31</v>
      </c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</row>
    <row r="251" spans="1:20" ht="17.100000000000001" customHeight="1" x14ac:dyDescent="0.25">
      <c r="A251" s="148"/>
      <c r="B251" s="148"/>
      <c r="D251" s="57">
        <v>32</v>
      </c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</row>
    <row r="252" spans="1:20" ht="17.100000000000001" customHeight="1" x14ac:dyDescent="0.25">
      <c r="A252" s="148"/>
      <c r="B252" s="148"/>
      <c r="D252" s="57">
        <v>33</v>
      </c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</row>
    <row r="253" spans="1:20" ht="17.100000000000001" customHeight="1" x14ac:dyDescent="0.25">
      <c r="A253" s="148"/>
      <c r="B253" s="148"/>
      <c r="D253" s="57">
        <v>34</v>
      </c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</row>
    <row r="254" spans="1:20" ht="17.100000000000001" customHeight="1" x14ac:dyDescent="0.25">
      <c r="A254" s="148"/>
      <c r="B254" s="148"/>
      <c r="D254" s="57">
        <v>35</v>
      </c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</row>
    <row r="255" spans="1:20" ht="17.100000000000001" customHeight="1" x14ac:dyDescent="0.25">
      <c r="A255" s="148"/>
      <c r="B255" s="148"/>
      <c r="D255" s="57">
        <v>36</v>
      </c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</row>
    <row r="256" spans="1:20" ht="17.100000000000001" customHeight="1" x14ac:dyDescent="0.25">
      <c r="A256" s="148"/>
      <c r="B256" s="148"/>
      <c r="D256" s="57">
        <v>37</v>
      </c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</row>
    <row r="257" spans="1:20" ht="17.100000000000001" customHeight="1" x14ac:dyDescent="0.25">
      <c r="A257" s="148"/>
      <c r="B257" s="148"/>
      <c r="D257" s="57">
        <v>38</v>
      </c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</row>
    <row r="258" spans="1:20" ht="17.100000000000001" customHeight="1" x14ac:dyDescent="0.25">
      <c r="A258" s="148"/>
      <c r="B258" s="148"/>
      <c r="D258" s="57">
        <v>39</v>
      </c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</row>
    <row r="259" spans="1:20" ht="17.100000000000001" customHeight="1" thickBot="1" x14ac:dyDescent="0.3">
      <c r="A259" s="148"/>
      <c r="B259" s="148"/>
      <c r="D259" s="371">
        <v>40</v>
      </c>
      <c r="E259" s="231"/>
      <c r="F259" s="9"/>
      <c r="G259" s="9"/>
      <c r="H259" s="9"/>
      <c r="I259" s="9"/>
      <c r="J259" s="9"/>
      <c r="K259" s="9"/>
      <c r="L259" s="9"/>
      <c r="M259" s="9"/>
      <c r="N259" s="9"/>
      <c r="O259" s="246"/>
      <c r="P259" s="9"/>
      <c r="Q259" s="9"/>
      <c r="R259" s="9"/>
      <c r="S259" s="9"/>
      <c r="T259" s="13" t="s">
        <v>1163</v>
      </c>
    </row>
    <row r="260" spans="1:20" ht="17.100000000000001" customHeight="1" x14ac:dyDescent="0.25">
      <c r="A260" s="148"/>
      <c r="B260" s="148"/>
      <c r="D260" s="8" t="s">
        <v>1002</v>
      </c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 t="str">
        <f>R208</f>
        <v>Recap Schedules: E-13a</v>
      </c>
      <c r="S260" s="8"/>
      <c r="T260" s="8"/>
    </row>
    <row r="261" spans="1:20" ht="17.100000000000001" customHeight="1" thickBot="1" x14ac:dyDescent="0.3">
      <c r="A261" s="148"/>
      <c r="B261" s="148"/>
      <c r="D261" s="9" t="str">
        <f>+$D$1</f>
        <v>SCHEDULE E-13d</v>
      </c>
      <c r="E261" s="9"/>
      <c r="F261" s="9"/>
      <c r="G261" s="9"/>
      <c r="H261" s="9"/>
      <c r="I261" s="9" t="str">
        <f>+$I$1</f>
        <v>REVENUE BY RATE SCHEDULE - LIGHTING SCHEDULE CALCULATION</v>
      </c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 t="s">
        <v>1164</v>
      </c>
    </row>
    <row r="262" spans="1:20" ht="17.100000000000001" customHeight="1" x14ac:dyDescent="0.25">
      <c r="A262" s="148"/>
      <c r="B262" s="148"/>
      <c r="D262" s="8" t="s">
        <v>307</v>
      </c>
      <c r="E262" s="8"/>
      <c r="F262" s="8"/>
      <c r="G262" s="11"/>
      <c r="H262" s="8"/>
      <c r="I262" s="11" t="s">
        <v>1005</v>
      </c>
      <c r="J262" s="8" t="s">
        <v>1228</v>
      </c>
      <c r="K262" s="8"/>
      <c r="L262" s="99"/>
      <c r="M262" s="99"/>
      <c r="N262" s="8"/>
      <c r="O262" s="8"/>
      <c r="P262" s="99"/>
      <c r="Q262" s="99" t="s">
        <v>309</v>
      </c>
      <c r="R262" s="8"/>
      <c r="S262" s="8"/>
      <c r="T262" s="10"/>
    </row>
    <row r="263" spans="1:20" ht="17.100000000000001" customHeight="1" x14ac:dyDescent="0.25">
      <c r="A263" s="148"/>
      <c r="B263" s="148"/>
      <c r="D263" s="8"/>
      <c r="E263" s="8"/>
      <c r="F263" s="8"/>
      <c r="G263" s="8"/>
      <c r="H263" s="8" t="str">
        <f>IF(+$H$3="","",$H$3)</f>
        <v/>
      </c>
      <c r="I263" s="8"/>
      <c r="J263" s="8" t="s">
        <v>1229</v>
      </c>
      <c r="K263" s="8"/>
      <c r="L263" s="11"/>
      <c r="M263" s="10"/>
      <c r="N263" s="8"/>
      <c r="O263" s="8"/>
      <c r="P263" s="8"/>
      <c r="Q263" s="224"/>
      <c r="R263" s="117" t="s">
        <v>916</v>
      </c>
      <c r="S263" s="116" t="s">
        <v>1512</v>
      </c>
      <c r="T263" s="11"/>
    </row>
    <row r="264" spans="1:20" ht="17.100000000000001" customHeight="1" x14ac:dyDescent="0.25">
      <c r="A264" s="148"/>
      <c r="B264" s="148"/>
      <c r="D264" s="8" t="s">
        <v>310</v>
      </c>
      <c r="E264" s="8"/>
      <c r="F264" s="8"/>
      <c r="G264" s="8"/>
      <c r="H264" s="8" t="str">
        <f>IF(+$H$4="","",$H$4)</f>
        <v/>
      </c>
      <c r="I264" s="8"/>
      <c r="J264" s="8" t="s">
        <v>1230</v>
      </c>
      <c r="K264" s="8"/>
      <c r="L264" s="11"/>
      <c r="M264" s="10"/>
      <c r="N264" s="11"/>
      <c r="O264" s="11"/>
      <c r="P264" s="8"/>
      <c r="Q264" s="11"/>
      <c r="R264" s="265"/>
      <c r="S264" s="116"/>
      <c r="T264" s="11"/>
    </row>
    <row r="265" spans="1:20" ht="17.100000000000001" customHeight="1" x14ac:dyDescent="0.25">
      <c r="A265" s="148"/>
      <c r="B265" s="148"/>
      <c r="D265" s="8"/>
      <c r="E265" s="8"/>
      <c r="F265" s="8"/>
      <c r="G265" s="8"/>
      <c r="H265" s="8" t="str">
        <f>IF(+$H$5="","",$H$5)</f>
        <v/>
      </c>
      <c r="I265" s="8"/>
      <c r="J265" s="8" t="s">
        <v>1231</v>
      </c>
      <c r="K265" s="8"/>
      <c r="L265" s="11"/>
      <c r="M265" s="10"/>
      <c r="N265" s="11"/>
      <c r="O265" s="11"/>
      <c r="P265" s="8"/>
      <c r="Q265" s="11"/>
      <c r="R265" s="265"/>
      <c r="S265" s="116"/>
      <c r="T265" s="11"/>
    </row>
    <row r="266" spans="1:20" ht="17.100000000000001" customHeight="1" thickBot="1" x14ac:dyDescent="0.3">
      <c r="A266" s="148"/>
      <c r="B266" s="148"/>
      <c r="D266" s="9" t="str">
        <f>+$D$6</f>
        <v>DOCKET No. 20240026-EI</v>
      </c>
      <c r="E266" s="9"/>
      <c r="F266" s="9"/>
      <c r="G266" s="9"/>
      <c r="H266" s="9" t="str">
        <f>IF(+$H$8="","",$H$8)</f>
        <v/>
      </c>
      <c r="I266" s="9"/>
      <c r="J266" s="9"/>
      <c r="K266" s="58"/>
      <c r="L266" s="9"/>
      <c r="M266" s="9"/>
      <c r="N266" s="9"/>
      <c r="O266" s="9"/>
      <c r="P266" s="9"/>
      <c r="Q266" s="9"/>
      <c r="R266" s="264"/>
      <c r="S266" s="114" t="s">
        <v>1519</v>
      </c>
      <c r="T266" s="9"/>
    </row>
    <row r="267" spans="1:20" ht="17.100000000000001" customHeight="1" x14ac:dyDescent="0.25">
      <c r="A267" s="148"/>
      <c r="B267" s="148"/>
      <c r="D267" s="225"/>
      <c r="E267" s="383" t="s">
        <v>946</v>
      </c>
      <c r="F267" s="383"/>
      <c r="G267" s="383"/>
      <c r="H267" s="383"/>
      <c r="I267" s="383"/>
      <c r="J267" s="383"/>
      <c r="K267" s="383"/>
      <c r="L267" s="383"/>
      <c r="M267" s="383"/>
      <c r="N267" s="383"/>
      <c r="O267" s="383"/>
      <c r="P267" s="383"/>
      <c r="Q267" s="383"/>
      <c r="R267" s="383"/>
      <c r="S267" s="383"/>
      <c r="T267" s="383"/>
    </row>
    <row r="268" spans="1:20" ht="17.100000000000001" customHeight="1" x14ac:dyDescent="0.25">
      <c r="A268" s="148"/>
      <c r="B268" s="148"/>
      <c r="D268" s="8"/>
      <c r="E268" s="57"/>
      <c r="F268" s="12"/>
      <c r="G268" s="12"/>
      <c r="H268" s="12"/>
      <c r="I268" s="12"/>
      <c r="J268" s="12"/>
      <c r="K268" s="226"/>
      <c r="L268" s="249" t="s">
        <v>947</v>
      </c>
      <c r="M268" s="226"/>
      <c r="N268" s="226"/>
      <c r="O268" s="226"/>
      <c r="P268" s="226"/>
      <c r="Q268" s="249" t="s">
        <v>871</v>
      </c>
      <c r="R268" s="226"/>
      <c r="S268" s="226"/>
      <c r="T268" s="12"/>
    </row>
    <row r="269" spans="1:20" ht="17.100000000000001" customHeight="1" x14ac:dyDescent="0.25">
      <c r="A269" s="148"/>
      <c r="B269" s="148"/>
      <c r="D269" s="8"/>
      <c r="E269" s="57"/>
      <c r="F269" s="12"/>
      <c r="G269" s="57" t="s">
        <v>948</v>
      </c>
      <c r="H269" s="12" t="s">
        <v>949</v>
      </c>
      <c r="I269" s="57"/>
      <c r="J269" s="57"/>
      <c r="K269" s="57" t="s">
        <v>950</v>
      </c>
      <c r="L269" s="57" t="s">
        <v>950</v>
      </c>
      <c r="M269" s="57" t="s">
        <v>951</v>
      </c>
      <c r="N269" s="12" t="s">
        <v>806</v>
      </c>
      <c r="O269" s="12"/>
      <c r="P269" s="57" t="s">
        <v>950</v>
      </c>
      <c r="Q269" s="57" t="s">
        <v>950</v>
      </c>
      <c r="R269" s="57" t="s">
        <v>951</v>
      </c>
      <c r="S269" s="57" t="s">
        <v>806</v>
      </c>
      <c r="T269" s="57"/>
    </row>
    <row r="270" spans="1:20" ht="17.100000000000001" customHeight="1" x14ac:dyDescent="0.25">
      <c r="A270" s="148"/>
      <c r="B270" s="148"/>
      <c r="D270" s="57" t="s">
        <v>313</v>
      </c>
      <c r="E270" s="57" t="s">
        <v>314</v>
      </c>
      <c r="F270" s="57"/>
      <c r="G270" s="57" t="s">
        <v>952</v>
      </c>
      <c r="H270" s="57" t="s">
        <v>950</v>
      </c>
      <c r="I270" s="12" t="s">
        <v>948</v>
      </c>
      <c r="J270" s="12"/>
      <c r="K270" s="12" t="s">
        <v>953</v>
      </c>
      <c r="L270" s="12" t="s">
        <v>954</v>
      </c>
      <c r="M270" s="12" t="s">
        <v>950</v>
      </c>
      <c r="N270" s="57" t="s">
        <v>335</v>
      </c>
      <c r="O270" s="57"/>
      <c r="P270" s="12" t="s">
        <v>953</v>
      </c>
      <c r="Q270" s="12" t="s">
        <v>954</v>
      </c>
      <c r="R270" s="12" t="s">
        <v>950</v>
      </c>
      <c r="S270" s="12" t="s">
        <v>335</v>
      </c>
      <c r="T270" s="12" t="s">
        <v>855</v>
      </c>
    </row>
    <row r="271" spans="1:20" ht="17.100000000000001" customHeight="1" thickBot="1" x14ac:dyDescent="0.3">
      <c r="A271" s="148"/>
      <c r="B271" s="148"/>
      <c r="D271" s="58" t="s">
        <v>319</v>
      </c>
      <c r="E271" s="58" t="s">
        <v>953</v>
      </c>
      <c r="F271" s="58"/>
      <c r="G271" s="58" t="s">
        <v>955</v>
      </c>
      <c r="H271" s="58" t="s">
        <v>710</v>
      </c>
      <c r="I271" s="14" t="s">
        <v>710</v>
      </c>
      <c r="J271" s="14"/>
      <c r="K271" s="14" t="s">
        <v>956</v>
      </c>
      <c r="L271" s="14" t="s">
        <v>956</v>
      </c>
      <c r="M271" s="14" t="s">
        <v>956</v>
      </c>
      <c r="N271" s="14" t="s">
        <v>317</v>
      </c>
      <c r="O271" s="14"/>
      <c r="P271" s="14" t="s">
        <v>956</v>
      </c>
      <c r="Q271" s="14" t="s">
        <v>956</v>
      </c>
      <c r="R271" s="14" t="s">
        <v>956</v>
      </c>
      <c r="S271" s="14" t="s">
        <v>317</v>
      </c>
      <c r="T271" s="14" t="s">
        <v>325</v>
      </c>
    </row>
    <row r="272" spans="1:20" ht="17.100000000000001" customHeight="1" x14ac:dyDescent="0.25">
      <c r="A272" s="148"/>
      <c r="B272" s="148"/>
      <c r="D272" s="57">
        <v>1</v>
      </c>
      <c r="E272" s="200" t="s">
        <v>810</v>
      </c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</row>
    <row r="273" spans="1:22" ht="17.100000000000001" customHeight="1" x14ac:dyDescent="0.25">
      <c r="A273" s="148"/>
      <c r="B273" s="148"/>
      <c r="D273" s="57">
        <v>2</v>
      </c>
      <c r="E273" s="250" t="s">
        <v>1165</v>
      </c>
      <c r="F273" s="35"/>
      <c r="G273" s="35"/>
      <c r="H273" s="35"/>
      <c r="I273" s="35"/>
      <c r="J273" s="8"/>
      <c r="K273" s="35"/>
      <c r="L273" s="35"/>
      <c r="M273" s="35"/>
      <c r="N273" s="35"/>
      <c r="O273" s="35"/>
      <c r="P273" s="35"/>
      <c r="Q273" s="35"/>
      <c r="R273" s="35"/>
      <c r="S273" s="35"/>
      <c r="T273" s="35"/>
    </row>
    <row r="274" spans="1:22" ht="17.100000000000001" customHeight="1" x14ac:dyDescent="0.25">
      <c r="A274" s="148">
        <v>425</v>
      </c>
      <c r="B274" s="148"/>
      <c r="D274" s="57">
        <v>3</v>
      </c>
      <c r="E274" s="199" t="s">
        <v>1166</v>
      </c>
      <c r="F274" s="11" t="s">
        <v>1167</v>
      </c>
      <c r="G274" s="32">
        <f>+SUMIFS('2025 Lighting BDs'!C:C,'2025 Lighting BDs'!B:B,'E-13d'!A274)</f>
        <v>287</v>
      </c>
      <c r="H274" s="32"/>
      <c r="I274" s="39"/>
      <c r="J274" s="8"/>
      <c r="K274" s="39">
        <f>+SUMIFS('2026 Lighting Rates'!B:B,'2026 Lighting Rates'!A:A,A274)</f>
        <v>7.83</v>
      </c>
      <c r="L274" s="39">
        <f>+SUMIFS('2026 Lighting Rates'!C:C,'2026 Lighting Rates'!A:A,A274)</f>
        <v>0.17</v>
      </c>
      <c r="M274" s="47">
        <f>+K274+L274</f>
        <v>8</v>
      </c>
      <c r="N274" s="35">
        <f t="shared" ref="N274:N306" si="65">+M274*G274</f>
        <v>2296</v>
      </c>
      <c r="O274" s="32"/>
      <c r="P274" s="47">
        <f t="shared" ref="P274:P306" si="66">+K274</f>
        <v>7.83</v>
      </c>
      <c r="Q274" s="47">
        <f t="shared" ref="Q274:Q306" si="67">+L274</f>
        <v>0.17</v>
      </c>
      <c r="R274" s="47">
        <f t="shared" ref="R274:R306" si="68">+P274+Q274</f>
        <v>8</v>
      </c>
      <c r="S274" s="161">
        <f t="shared" ref="S274:S306" si="69">+R274*G274</f>
        <v>2296</v>
      </c>
      <c r="T274" s="183">
        <f t="shared" ref="T274:T306" si="70">IF(S274=0,0,(S274-N274)/N274)</f>
        <v>0</v>
      </c>
      <c r="U274" s="160"/>
      <c r="V274" s="160"/>
    </row>
    <row r="275" spans="1:22" ht="17.100000000000001" customHeight="1" x14ac:dyDescent="0.25">
      <c r="A275" s="148">
        <v>626</v>
      </c>
      <c r="B275" s="148"/>
      <c r="D275" s="57">
        <v>4</v>
      </c>
      <c r="E275" s="199" t="s">
        <v>1168</v>
      </c>
      <c r="F275" s="11" t="s">
        <v>1167</v>
      </c>
      <c r="G275" s="32">
        <f>+SUMIFS('2025 Lighting BDs'!C:C,'2025 Lighting BDs'!B:B,'E-13d'!A275)</f>
        <v>199058</v>
      </c>
      <c r="H275" s="32"/>
      <c r="I275" s="39"/>
      <c r="J275" s="8"/>
      <c r="K275" s="39">
        <f>+SUMIFS('2026 Lighting Rates'!B:B,'2026 Lighting Rates'!A:A,A275)</f>
        <v>3.87</v>
      </c>
      <c r="L275" s="39">
        <f>+SUMIFS('2026 Lighting Rates'!C:C,'2026 Lighting Rates'!A:A,A275)</f>
        <v>0.17</v>
      </c>
      <c r="M275" s="47">
        <f t="shared" ref="M275:M306" si="71">+K275+L275</f>
        <v>4.04</v>
      </c>
      <c r="N275" s="35">
        <f t="shared" si="65"/>
        <v>804194.32000000007</v>
      </c>
      <c r="O275" s="32"/>
      <c r="P275" s="47">
        <f t="shared" si="66"/>
        <v>3.87</v>
      </c>
      <c r="Q275" s="47">
        <f t="shared" si="67"/>
        <v>0.17</v>
      </c>
      <c r="R275" s="47">
        <f t="shared" si="68"/>
        <v>4.04</v>
      </c>
      <c r="S275" s="161">
        <f t="shared" si="69"/>
        <v>804194.32000000007</v>
      </c>
      <c r="T275" s="183">
        <f t="shared" si="70"/>
        <v>0</v>
      </c>
      <c r="U275" s="160"/>
    </row>
    <row r="276" spans="1:22" ht="17.100000000000001" customHeight="1" x14ac:dyDescent="0.25">
      <c r="A276" s="148">
        <v>627</v>
      </c>
      <c r="B276" s="148"/>
      <c r="D276" s="57">
        <v>5</v>
      </c>
      <c r="E276" s="199" t="s">
        <v>1169</v>
      </c>
      <c r="F276" s="11" t="s">
        <v>1167</v>
      </c>
      <c r="G276" s="32">
        <f>+SUMIFS('2025 Lighting BDs'!C:C,'2025 Lighting BDs'!B:B,'E-13d'!A276)</f>
        <v>233468</v>
      </c>
      <c r="H276" s="32"/>
      <c r="I276" s="39"/>
      <c r="J276" s="8"/>
      <c r="K276" s="39">
        <f>+SUMIFS('2026 Lighting Rates'!B:B,'2026 Lighting Rates'!A:A,A276)</f>
        <v>4.58</v>
      </c>
      <c r="L276" s="39">
        <f>+SUMIFS('2026 Lighting Rates'!C:C,'2026 Lighting Rates'!A:A,A276)</f>
        <v>0.17</v>
      </c>
      <c r="M276" s="47">
        <f t="shared" si="71"/>
        <v>4.75</v>
      </c>
      <c r="N276" s="35">
        <f t="shared" si="65"/>
        <v>1108973</v>
      </c>
      <c r="O276" s="32"/>
      <c r="P276" s="47">
        <f t="shared" si="66"/>
        <v>4.58</v>
      </c>
      <c r="Q276" s="47">
        <f t="shared" si="67"/>
        <v>0.17</v>
      </c>
      <c r="R276" s="47">
        <f t="shared" si="68"/>
        <v>4.75</v>
      </c>
      <c r="S276" s="161">
        <f t="shared" si="69"/>
        <v>1108973</v>
      </c>
      <c r="T276" s="183">
        <f t="shared" si="70"/>
        <v>0</v>
      </c>
      <c r="U276" s="160"/>
    </row>
    <row r="277" spans="1:22" ht="17.100000000000001" customHeight="1" x14ac:dyDescent="0.25">
      <c r="A277" s="148">
        <v>597</v>
      </c>
      <c r="B277" s="148"/>
      <c r="D277" s="57">
        <v>6</v>
      </c>
      <c r="E277" s="251" t="s">
        <v>1170</v>
      </c>
      <c r="F277" s="11" t="s">
        <v>1167</v>
      </c>
      <c r="G277" s="32">
        <f>+SUMIFS('2025 Lighting BDs'!C:C,'2025 Lighting BDs'!B:B,'E-13d'!A277)</f>
        <v>20808</v>
      </c>
      <c r="H277" s="32"/>
      <c r="I277" s="39"/>
      <c r="J277" s="8"/>
      <c r="K277" s="39">
        <f>+SUMIFS('2026 Lighting Rates'!B:B,'2026 Lighting Rates'!A:A,A277)</f>
        <v>9.7799999999999994</v>
      </c>
      <c r="L277" s="39">
        <f>+SUMIFS('2026 Lighting Rates'!C:C,'2026 Lighting Rates'!A:A,A277)</f>
        <v>0.31</v>
      </c>
      <c r="M277" s="47">
        <f t="shared" si="71"/>
        <v>10.09</v>
      </c>
      <c r="N277" s="35">
        <f t="shared" si="65"/>
        <v>209952.72</v>
      </c>
      <c r="O277" s="32"/>
      <c r="P277" s="47">
        <f t="shared" si="66"/>
        <v>9.7799999999999994</v>
      </c>
      <c r="Q277" s="47">
        <f t="shared" si="67"/>
        <v>0.31</v>
      </c>
      <c r="R277" s="47">
        <f t="shared" si="68"/>
        <v>10.09</v>
      </c>
      <c r="S277" s="161">
        <f t="shared" si="69"/>
        <v>209952.72</v>
      </c>
      <c r="T277" s="183">
        <f t="shared" si="70"/>
        <v>0</v>
      </c>
      <c r="U277" s="160"/>
    </row>
    <row r="278" spans="1:22" ht="17.100000000000001" customHeight="1" x14ac:dyDescent="0.25">
      <c r="A278" s="148">
        <v>637</v>
      </c>
      <c r="B278" s="148"/>
      <c r="D278" s="57">
        <v>7</v>
      </c>
      <c r="E278" s="10" t="s">
        <v>1171</v>
      </c>
      <c r="F278" s="11" t="s">
        <v>1167</v>
      </c>
      <c r="G278" s="32">
        <f>+SUMIFS('2025 Lighting BDs'!C:C,'2025 Lighting BDs'!B:B,'E-13d'!A278)</f>
        <v>55862</v>
      </c>
      <c r="H278" s="32"/>
      <c r="I278" s="39"/>
      <c r="J278" s="8"/>
      <c r="K278" s="39">
        <f>+SUMIFS('2026 Lighting Rates'!B:B,'2026 Lighting Rates'!A:A,A278)</f>
        <v>8.19</v>
      </c>
      <c r="L278" s="39">
        <f>+SUMIFS('2026 Lighting Rates'!C:C,'2026 Lighting Rates'!A:A,A278)</f>
        <v>0.17</v>
      </c>
      <c r="M278" s="47">
        <f t="shared" si="71"/>
        <v>8.36</v>
      </c>
      <c r="N278" s="35">
        <f t="shared" si="65"/>
        <v>467006.31999999995</v>
      </c>
      <c r="O278" s="32"/>
      <c r="P278" s="47">
        <f t="shared" si="66"/>
        <v>8.19</v>
      </c>
      <c r="Q278" s="47">
        <f t="shared" si="67"/>
        <v>0.17</v>
      </c>
      <c r="R278" s="47">
        <f t="shared" si="68"/>
        <v>8.36</v>
      </c>
      <c r="S278" s="161">
        <f t="shared" si="69"/>
        <v>467006.31999999995</v>
      </c>
      <c r="T278" s="183">
        <f t="shared" si="70"/>
        <v>0</v>
      </c>
      <c r="U278" s="160"/>
    </row>
    <row r="279" spans="1:22" ht="17.100000000000001" customHeight="1" x14ac:dyDescent="0.25">
      <c r="A279" s="148">
        <v>594</v>
      </c>
      <c r="B279" s="148"/>
      <c r="D279" s="57">
        <v>8</v>
      </c>
      <c r="E279" s="252" t="s">
        <v>1172</v>
      </c>
      <c r="F279" s="11" t="s">
        <v>1167</v>
      </c>
      <c r="G279" s="32">
        <f>+SUMIFS('2025 Lighting BDs'!C:C,'2025 Lighting BDs'!B:B,'E-13d'!A279)</f>
        <v>13487</v>
      </c>
      <c r="H279" s="253"/>
      <c r="J279" s="8"/>
      <c r="K279" s="39">
        <f>+SUMIFS('2026 Lighting Rates'!B:B,'2026 Lighting Rates'!A:A,A279)</f>
        <v>15.68</v>
      </c>
      <c r="L279" s="39">
        <f>+SUMIFS('2026 Lighting Rates'!C:C,'2026 Lighting Rates'!A:A,A279)</f>
        <v>0.31</v>
      </c>
      <c r="M279" s="47">
        <f t="shared" si="71"/>
        <v>15.99</v>
      </c>
      <c r="N279" s="35">
        <f t="shared" si="65"/>
        <v>215657.13</v>
      </c>
      <c r="O279" s="32"/>
      <c r="P279" s="47">
        <f t="shared" si="66"/>
        <v>15.68</v>
      </c>
      <c r="Q279" s="47">
        <f t="shared" si="67"/>
        <v>0.31</v>
      </c>
      <c r="R279" s="47">
        <f t="shared" si="68"/>
        <v>15.99</v>
      </c>
      <c r="S279" s="161">
        <f t="shared" si="69"/>
        <v>215657.13</v>
      </c>
      <c r="T279" s="183">
        <f t="shared" si="70"/>
        <v>0</v>
      </c>
      <c r="U279" s="160"/>
    </row>
    <row r="280" spans="1:22" ht="17.100000000000001" customHeight="1" x14ac:dyDescent="0.25">
      <c r="A280" s="148">
        <v>599</v>
      </c>
      <c r="B280" s="148"/>
      <c r="D280" s="57">
        <v>9</v>
      </c>
      <c r="E280" s="199" t="s">
        <v>1173</v>
      </c>
      <c r="F280" s="11" t="s">
        <v>1174</v>
      </c>
      <c r="G280" s="32">
        <f>+SUMIFS('2025 Lighting BDs'!C:C,'2025 Lighting BDs'!B:B,'E-13d'!A280)</f>
        <v>593</v>
      </c>
      <c r="H280" s="32"/>
      <c r="I280" s="39"/>
      <c r="J280" s="8"/>
      <c r="K280" s="39">
        <f>+SUMIFS('2026 Lighting Rates'!B:B,'2026 Lighting Rates'!A:A,A280)</f>
        <v>22.6</v>
      </c>
      <c r="L280" s="39">
        <f>+SUMIFS('2026 Lighting Rates'!C:C,'2026 Lighting Rates'!A:A,A280)</f>
        <v>0.14000000000000001</v>
      </c>
      <c r="M280" s="47">
        <f t="shared" si="71"/>
        <v>22.740000000000002</v>
      </c>
      <c r="N280" s="35">
        <f t="shared" si="65"/>
        <v>13484.820000000002</v>
      </c>
      <c r="O280" s="32"/>
      <c r="P280" s="47">
        <f t="shared" si="66"/>
        <v>22.6</v>
      </c>
      <c r="Q280" s="47">
        <f t="shared" si="67"/>
        <v>0.14000000000000001</v>
      </c>
      <c r="R280" s="47">
        <f t="shared" si="68"/>
        <v>22.740000000000002</v>
      </c>
      <c r="S280" s="161">
        <f t="shared" si="69"/>
        <v>13484.820000000002</v>
      </c>
      <c r="T280" s="183">
        <f t="shared" si="70"/>
        <v>0</v>
      </c>
    </row>
    <row r="281" spans="1:22" ht="17.100000000000001" customHeight="1" x14ac:dyDescent="0.25">
      <c r="A281" s="148">
        <v>595</v>
      </c>
      <c r="B281" s="148"/>
      <c r="D281" s="57">
        <v>10</v>
      </c>
      <c r="E281" s="199" t="s">
        <v>1175</v>
      </c>
      <c r="F281" s="11" t="s">
        <v>1174</v>
      </c>
      <c r="G281" s="32">
        <f>+SUMIFS('2025 Lighting BDs'!C:C,'2025 Lighting BDs'!B:B,'E-13d'!A281)</f>
        <v>4867</v>
      </c>
      <c r="H281" s="32"/>
      <c r="I281" s="39"/>
      <c r="J281" s="8"/>
      <c r="K281" s="39">
        <f>+SUMIFS('2026 Lighting Rates'!B:B,'2026 Lighting Rates'!A:A,A281)</f>
        <v>31.03</v>
      </c>
      <c r="L281" s="39">
        <f>+SUMIFS('2026 Lighting Rates'!C:C,'2026 Lighting Rates'!A:A,A281)</f>
        <v>0.14000000000000001</v>
      </c>
      <c r="M281" s="47">
        <f t="shared" si="71"/>
        <v>31.17</v>
      </c>
      <c r="N281" s="35">
        <f t="shared" si="65"/>
        <v>151704.39000000001</v>
      </c>
      <c r="O281" s="32"/>
      <c r="P281" s="47">
        <f t="shared" si="66"/>
        <v>31.03</v>
      </c>
      <c r="Q281" s="47">
        <f t="shared" si="67"/>
        <v>0.14000000000000001</v>
      </c>
      <c r="R281" s="47">
        <f t="shared" si="68"/>
        <v>31.17</v>
      </c>
      <c r="S281" s="161">
        <f t="shared" si="69"/>
        <v>151704.39000000001</v>
      </c>
      <c r="T281" s="183">
        <f t="shared" si="70"/>
        <v>0</v>
      </c>
    </row>
    <row r="282" spans="1:22" ht="17.100000000000001" customHeight="1" x14ac:dyDescent="0.25">
      <c r="A282" s="148">
        <v>588</v>
      </c>
      <c r="B282" s="148"/>
      <c r="D282" s="57">
        <v>11</v>
      </c>
      <c r="E282" s="199" t="s">
        <v>1176</v>
      </c>
      <c r="F282" s="11" t="s">
        <v>1174</v>
      </c>
      <c r="G282" s="32">
        <f>+SUMIFS('2025 Lighting BDs'!C:C,'2025 Lighting BDs'!B:B,'E-13d'!A282)</f>
        <v>178974</v>
      </c>
      <c r="H282" s="32"/>
      <c r="I282" s="39"/>
      <c r="J282" s="8"/>
      <c r="K282" s="39">
        <f>+SUMIFS('2026 Lighting Rates'!B:B,'2026 Lighting Rates'!A:A,A282)</f>
        <v>32.53</v>
      </c>
      <c r="L282" s="39">
        <f>+SUMIFS('2026 Lighting Rates'!C:C,'2026 Lighting Rates'!A:A,A282)</f>
        <v>0.34</v>
      </c>
      <c r="M282" s="47">
        <f t="shared" si="71"/>
        <v>32.870000000000005</v>
      </c>
      <c r="N282" s="35">
        <f t="shared" si="65"/>
        <v>5882875.3800000008</v>
      </c>
      <c r="O282" s="32"/>
      <c r="P282" s="47">
        <f t="shared" si="66"/>
        <v>32.53</v>
      </c>
      <c r="Q282" s="47">
        <f t="shared" si="67"/>
        <v>0.34</v>
      </c>
      <c r="R282" s="47">
        <f t="shared" si="68"/>
        <v>32.870000000000005</v>
      </c>
      <c r="S282" s="161">
        <f t="shared" si="69"/>
        <v>5882875.3800000008</v>
      </c>
      <c r="T282" s="183">
        <f t="shared" si="70"/>
        <v>0</v>
      </c>
    </row>
    <row r="283" spans="1:22" ht="17.100000000000001" customHeight="1" x14ac:dyDescent="0.25">
      <c r="A283" s="148">
        <v>607</v>
      </c>
      <c r="B283" s="148"/>
      <c r="D283" s="57">
        <v>12</v>
      </c>
      <c r="E283" s="199" t="s">
        <v>1177</v>
      </c>
      <c r="F283" s="11" t="s">
        <v>1174</v>
      </c>
      <c r="G283" s="32">
        <f>+SUMIFS('2025 Lighting BDs'!C:C,'2025 Lighting BDs'!B:B,'E-13d'!A283)</f>
        <v>362275</v>
      </c>
      <c r="H283" s="32"/>
      <c r="I283" s="39"/>
      <c r="J283" s="8"/>
      <c r="K283" s="39">
        <f>+SUMIFS('2026 Lighting Rates'!B:B,'2026 Lighting Rates'!A:A,A283)</f>
        <v>16.63</v>
      </c>
      <c r="L283" s="39">
        <f>+SUMIFS('2026 Lighting Rates'!C:C,'2026 Lighting Rates'!A:A,A283)</f>
        <v>0.34</v>
      </c>
      <c r="M283" s="47">
        <f t="shared" si="71"/>
        <v>16.97</v>
      </c>
      <c r="N283" s="35">
        <f t="shared" si="65"/>
        <v>6147806.75</v>
      </c>
      <c r="O283" s="32"/>
      <c r="P283" s="47">
        <f t="shared" si="66"/>
        <v>16.63</v>
      </c>
      <c r="Q283" s="47">
        <f t="shared" si="67"/>
        <v>0.34</v>
      </c>
      <c r="R283" s="47">
        <f t="shared" si="68"/>
        <v>16.97</v>
      </c>
      <c r="S283" s="161">
        <f t="shared" si="69"/>
        <v>6147806.75</v>
      </c>
      <c r="T283" s="183">
        <f t="shared" si="70"/>
        <v>0</v>
      </c>
    </row>
    <row r="284" spans="1:22" ht="17.100000000000001" customHeight="1" x14ac:dyDescent="0.25">
      <c r="A284" s="148">
        <v>612</v>
      </c>
      <c r="B284" s="148"/>
      <c r="D284" s="57">
        <v>13</v>
      </c>
      <c r="E284" s="199" t="s">
        <v>1178</v>
      </c>
      <c r="F284" s="11" t="s">
        <v>1174</v>
      </c>
      <c r="G284" s="32">
        <f>+SUMIFS('2025 Lighting BDs'!C:C,'2025 Lighting BDs'!B:B,'E-13d'!A284)</f>
        <v>48585</v>
      </c>
      <c r="H284" s="32"/>
      <c r="I284" s="39"/>
      <c r="J284" s="8"/>
      <c r="K284" s="39">
        <f>+SUMIFS('2026 Lighting Rates'!B:B,'2026 Lighting Rates'!A:A,A284)</f>
        <v>22.29</v>
      </c>
      <c r="L284" s="39">
        <f>+SUMIFS('2026 Lighting Rates'!C:C,'2026 Lighting Rates'!A:A,A284)</f>
        <v>0.34</v>
      </c>
      <c r="M284" s="47">
        <f t="shared" si="71"/>
        <v>22.63</v>
      </c>
      <c r="N284" s="35">
        <f t="shared" si="65"/>
        <v>1099478.55</v>
      </c>
      <c r="O284" s="32"/>
      <c r="P284" s="47">
        <f t="shared" si="66"/>
        <v>22.29</v>
      </c>
      <c r="Q284" s="47">
        <f t="shared" si="67"/>
        <v>0.34</v>
      </c>
      <c r="R284" s="47">
        <f t="shared" si="68"/>
        <v>22.63</v>
      </c>
      <c r="S284" s="161">
        <f t="shared" si="69"/>
        <v>1099478.55</v>
      </c>
      <c r="T284" s="183">
        <f t="shared" si="70"/>
        <v>0</v>
      </c>
    </row>
    <row r="285" spans="1:22" ht="17.100000000000001" customHeight="1" x14ac:dyDescent="0.25">
      <c r="A285" s="148">
        <v>614</v>
      </c>
      <c r="B285" s="148"/>
      <c r="D285" s="57">
        <v>14</v>
      </c>
      <c r="E285" s="199" t="s">
        <v>1179</v>
      </c>
      <c r="F285" s="11" t="s">
        <v>1174</v>
      </c>
      <c r="G285" s="32">
        <f>+SUMIFS('2025 Lighting BDs'!C:C,'2025 Lighting BDs'!B:B,'E-13d'!A285)</f>
        <v>43498</v>
      </c>
      <c r="H285" s="32"/>
      <c r="I285" s="39"/>
      <c r="J285" s="8"/>
      <c r="K285" s="39">
        <f>+SUMIFS('2026 Lighting Rates'!B:B,'2026 Lighting Rates'!A:A,A285)</f>
        <v>33.64</v>
      </c>
      <c r="L285" s="39">
        <f>+SUMIFS('2026 Lighting Rates'!C:C,'2026 Lighting Rates'!A:A,A285)</f>
        <v>0.34</v>
      </c>
      <c r="M285" s="47">
        <f t="shared" si="71"/>
        <v>33.980000000000004</v>
      </c>
      <c r="N285" s="35">
        <f t="shared" si="65"/>
        <v>1478062.0400000003</v>
      </c>
      <c r="O285" s="32"/>
      <c r="P285" s="47">
        <f t="shared" si="66"/>
        <v>33.64</v>
      </c>
      <c r="Q285" s="47">
        <f t="shared" si="67"/>
        <v>0.34</v>
      </c>
      <c r="R285" s="47">
        <f t="shared" si="68"/>
        <v>33.980000000000004</v>
      </c>
      <c r="S285" s="161">
        <f t="shared" si="69"/>
        <v>1478062.0400000003</v>
      </c>
      <c r="T285" s="183">
        <f t="shared" si="70"/>
        <v>0</v>
      </c>
    </row>
    <row r="286" spans="1:22" ht="17.100000000000001" customHeight="1" x14ac:dyDescent="0.25">
      <c r="A286" s="148">
        <v>596</v>
      </c>
      <c r="B286" s="148"/>
      <c r="D286" s="57">
        <v>15</v>
      </c>
      <c r="E286" s="199" t="s">
        <v>1180</v>
      </c>
      <c r="F286" s="11" t="s">
        <v>1174</v>
      </c>
      <c r="G286" s="32">
        <f>+SUMIFS('2025 Lighting BDs'!C:C,'2025 Lighting BDs'!B:B,'E-13d'!A286)</f>
        <v>19521</v>
      </c>
      <c r="H286" s="32"/>
      <c r="I286" s="32"/>
      <c r="J286" s="8"/>
      <c r="K286" s="39">
        <f>+SUMIFS('2026 Lighting Rates'!B:B,'2026 Lighting Rates'!A:A,A286)</f>
        <v>37.9</v>
      </c>
      <c r="L286" s="39">
        <f>+SUMIFS('2026 Lighting Rates'!C:C,'2026 Lighting Rates'!A:A,A286)</f>
        <v>0.14000000000000001</v>
      </c>
      <c r="M286" s="47">
        <f t="shared" si="71"/>
        <v>38.04</v>
      </c>
      <c r="N286" s="35">
        <f t="shared" si="65"/>
        <v>742578.84</v>
      </c>
      <c r="O286" s="32"/>
      <c r="P286" s="47">
        <f t="shared" si="66"/>
        <v>37.9</v>
      </c>
      <c r="Q286" s="47">
        <f t="shared" si="67"/>
        <v>0.14000000000000001</v>
      </c>
      <c r="R286" s="47">
        <f t="shared" si="68"/>
        <v>38.04</v>
      </c>
      <c r="S286" s="161">
        <f t="shared" si="69"/>
        <v>742578.84</v>
      </c>
      <c r="T286" s="183">
        <f t="shared" si="70"/>
        <v>0</v>
      </c>
    </row>
    <row r="287" spans="1:22" ht="17.100000000000001" customHeight="1" x14ac:dyDescent="0.25">
      <c r="A287" s="148">
        <v>523</v>
      </c>
      <c r="B287" s="148"/>
      <c r="D287" s="57">
        <v>16</v>
      </c>
      <c r="E287" s="199" t="s">
        <v>1181</v>
      </c>
      <c r="F287" s="11" t="s">
        <v>1174</v>
      </c>
      <c r="G287" s="32">
        <f>+SUMIFS('2025 Lighting BDs'!C:C,'2025 Lighting BDs'!B:B,'E-13d'!A287)</f>
        <v>1376</v>
      </c>
      <c r="H287" s="32"/>
      <c r="I287" s="32"/>
      <c r="J287" s="8"/>
      <c r="K287" s="39">
        <f>+SUMIFS('2026 Lighting Rates'!B:B,'2026 Lighting Rates'!A:A,A287)</f>
        <v>30.45</v>
      </c>
      <c r="L287" s="39">
        <f>+SUMIFS('2026 Lighting Rates'!C:C,'2026 Lighting Rates'!A:A,A287)</f>
        <v>0.14000000000000001</v>
      </c>
      <c r="M287" s="47">
        <f t="shared" si="71"/>
        <v>30.59</v>
      </c>
      <c r="N287" s="35">
        <f t="shared" si="65"/>
        <v>42091.839999999997</v>
      </c>
      <c r="O287" s="32"/>
      <c r="P287" s="47">
        <f t="shared" si="66"/>
        <v>30.45</v>
      </c>
      <c r="Q287" s="47">
        <f t="shared" si="67"/>
        <v>0.14000000000000001</v>
      </c>
      <c r="R287" s="47">
        <f t="shared" si="68"/>
        <v>30.59</v>
      </c>
      <c r="S287" s="161">
        <f t="shared" si="69"/>
        <v>42091.839999999997</v>
      </c>
      <c r="T287" s="183">
        <f t="shared" si="70"/>
        <v>0</v>
      </c>
    </row>
    <row r="288" spans="1:22" ht="17.100000000000001" customHeight="1" x14ac:dyDescent="0.25">
      <c r="A288" s="148">
        <v>591</v>
      </c>
      <c r="B288" s="148"/>
      <c r="D288" s="57">
        <v>17</v>
      </c>
      <c r="E288" s="199" t="s">
        <v>1182</v>
      </c>
      <c r="F288" s="11" t="s">
        <v>1174</v>
      </c>
      <c r="G288" s="32">
        <f>+SUMIFS('2025 Lighting BDs'!C:C,'2025 Lighting BDs'!B:B,'E-13d'!A288)</f>
        <v>17924</v>
      </c>
      <c r="H288" s="32"/>
      <c r="I288" s="32"/>
      <c r="J288" s="8"/>
      <c r="K288" s="39">
        <f>+SUMIFS('2026 Lighting Rates'!B:B,'2026 Lighting Rates'!A:A,A288)</f>
        <v>41.94</v>
      </c>
      <c r="L288" s="39">
        <f>+SUMIFS('2026 Lighting Rates'!C:C,'2026 Lighting Rates'!A:A,A288)</f>
        <v>0.14000000000000001</v>
      </c>
      <c r="M288" s="47">
        <f t="shared" si="71"/>
        <v>42.08</v>
      </c>
      <c r="N288" s="35">
        <f t="shared" si="65"/>
        <v>754241.91999999993</v>
      </c>
      <c r="O288" s="32"/>
      <c r="P288" s="47">
        <f t="shared" si="66"/>
        <v>41.94</v>
      </c>
      <c r="Q288" s="47">
        <f t="shared" si="67"/>
        <v>0.14000000000000001</v>
      </c>
      <c r="R288" s="47">
        <f t="shared" si="68"/>
        <v>42.08</v>
      </c>
      <c r="S288" s="161">
        <f t="shared" si="69"/>
        <v>754241.91999999993</v>
      </c>
      <c r="T288" s="183">
        <f t="shared" si="70"/>
        <v>0</v>
      </c>
    </row>
    <row r="289" spans="1:21" ht="17.100000000000001" customHeight="1" x14ac:dyDescent="0.25">
      <c r="A289" s="148">
        <v>592</v>
      </c>
      <c r="B289" s="148"/>
      <c r="D289" s="57">
        <v>18</v>
      </c>
      <c r="E289" s="199" t="s">
        <v>1183</v>
      </c>
      <c r="F289" s="11" t="s">
        <v>1174</v>
      </c>
      <c r="G289" s="32">
        <f>+SUMIFS('2025 Lighting BDs'!C:C,'2025 Lighting BDs'!B:B,'E-13d'!A289)</f>
        <v>11419</v>
      </c>
      <c r="H289" s="32"/>
      <c r="I289" s="32"/>
      <c r="J289" s="8"/>
      <c r="K289" s="39">
        <f>+SUMIFS('2026 Lighting Rates'!B:B,'2026 Lighting Rates'!A:A,A289)</f>
        <v>36.01</v>
      </c>
      <c r="L289" s="39">
        <f>+SUMIFS('2026 Lighting Rates'!C:C,'2026 Lighting Rates'!A:A,A289)</f>
        <v>0.14000000000000001</v>
      </c>
      <c r="M289" s="47">
        <f t="shared" si="71"/>
        <v>36.15</v>
      </c>
      <c r="N289" s="35">
        <f t="shared" si="65"/>
        <v>412796.85</v>
      </c>
      <c r="O289" s="32"/>
      <c r="P289" s="47">
        <f t="shared" si="66"/>
        <v>36.01</v>
      </c>
      <c r="Q289" s="47">
        <f t="shared" si="67"/>
        <v>0.14000000000000001</v>
      </c>
      <c r="R289" s="47">
        <f t="shared" si="68"/>
        <v>36.15</v>
      </c>
      <c r="S289" s="161">
        <f t="shared" si="69"/>
        <v>412796.85</v>
      </c>
      <c r="T289" s="183">
        <f t="shared" si="70"/>
        <v>0</v>
      </c>
    </row>
    <row r="290" spans="1:21" ht="17.100000000000001" customHeight="1" x14ac:dyDescent="0.25">
      <c r="A290" s="148">
        <v>593</v>
      </c>
      <c r="B290" s="148"/>
      <c r="D290" s="57">
        <v>19</v>
      </c>
      <c r="E290" s="242" t="s">
        <v>1184</v>
      </c>
      <c r="F290" s="11" t="s">
        <v>1174</v>
      </c>
      <c r="G290" s="32">
        <f>+SUMIFS('2025 Lighting BDs'!C:C,'2025 Lighting BDs'!B:B,'E-13d'!A290)</f>
        <v>92326</v>
      </c>
      <c r="H290" s="32"/>
      <c r="I290" s="8"/>
      <c r="J290" s="8"/>
      <c r="K290" s="39">
        <f>+SUMIFS('2026 Lighting Rates'!B:B,'2026 Lighting Rates'!A:A,A290)</f>
        <v>20.260000000000002</v>
      </c>
      <c r="L290" s="39">
        <f>+SUMIFS('2026 Lighting Rates'!C:C,'2026 Lighting Rates'!A:A,A290)</f>
        <v>1.1000000000000001</v>
      </c>
      <c r="M290" s="47">
        <f t="shared" si="71"/>
        <v>21.360000000000003</v>
      </c>
      <c r="N290" s="35">
        <f t="shared" si="65"/>
        <v>1972083.3600000003</v>
      </c>
      <c r="O290" s="32"/>
      <c r="P290" s="47">
        <f t="shared" si="66"/>
        <v>20.260000000000002</v>
      </c>
      <c r="Q290" s="47">
        <f t="shared" si="67"/>
        <v>1.1000000000000001</v>
      </c>
      <c r="R290" s="47">
        <f t="shared" si="68"/>
        <v>21.360000000000003</v>
      </c>
      <c r="S290" s="161">
        <f t="shared" si="69"/>
        <v>1972083.3600000003</v>
      </c>
      <c r="T290" s="183">
        <f t="shared" si="70"/>
        <v>0</v>
      </c>
      <c r="U290" s="162"/>
    </row>
    <row r="291" spans="1:21" ht="17.100000000000001" customHeight="1" x14ac:dyDescent="0.25">
      <c r="A291" s="148">
        <v>583</v>
      </c>
      <c r="B291" s="148"/>
      <c r="D291" s="57">
        <v>20</v>
      </c>
      <c r="E291" s="8" t="s">
        <v>1185</v>
      </c>
      <c r="F291" s="11" t="s">
        <v>1174</v>
      </c>
      <c r="G291" s="32">
        <f>+SUMIFS('2025 Lighting BDs'!C:C,'2025 Lighting BDs'!B:B,'E-13d'!A291)</f>
        <v>6517</v>
      </c>
      <c r="H291" s="32"/>
      <c r="I291" s="8"/>
      <c r="J291" s="8"/>
      <c r="K291" s="39">
        <f>+SUMIFS('2026 Lighting Rates'!B:B,'2026 Lighting Rates'!A:A,A291)</f>
        <v>30.44</v>
      </c>
      <c r="L291" s="39">
        <f>+SUMIFS('2026 Lighting Rates'!C:C,'2026 Lighting Rates'!A:A,A291)</f>
        <v>0.14000000000000001</v>
      </c>
      <c r="M291" s="47">
        <f t="shared" si="71"/>
        <v>30.580000000000002</v>
      </c>
      <c r="N291" s="35">
        <f t="shared" si="65"/>
        <v>199289.86000000002</v>
      </c>
      <c r="O291" s="32"/>
      <c r="P291" s="47">
        <f t="shared" si="66"/>
        <v>30.44</v>
      </c>
      <c r="Q291" s="47">
        <f t="shared" si="67"/>
        <v>0.14000000000000001</v>
      </c>
      <c r="R291" s="47">
        <f t="shared" si="68"/>
        <v>30.580000000000002</v>
      </c>
      <c r="S291" s="161">
        <f t="shared" si="69"/>
        <v>199289.86000000002</v>
      </c>
      <c r="T291" s="183">
        <f t="shared" si="70"/>
        <v>0</v>
      </c>
    </row>
    <row r="292" spans="1:21" ht="17.100000000000001" customHeight="1" x14ac:dyDescent="0.25">
      <c r="A292" s="148">
        <v>422</v>
      </c>
      <c r="B292" s="148"/>
      <c r="D292" s="57">
        <v>21</v>
      </c>
      <c r="E292" s="199" t="s">
        <v>1186</v>
      </c>
      <c r="F292" s="11" t="s">
        <v>1174</v>
      </c>
      <c r="G292" s="32">
        <f>+SUMIFS('2025 Lighting BDs'!C:C,'2025 Lighting BDs'!B:B,'E-13d'!A292)</f>
        <v>896</v>
      </c>
      <c r="H292" s="8"/>
      <c r="I292" s="8"/>
      <c r="J292" s="8"/>
      <c r="K292" s="39">
        <f>+SUMIFS('2026 Lighting Rates'!B:B,'2026 Lighting Rates'!A:A,A292)</f>
        <v>12.46</v>
      </c>
      <c r="L292" s="39">
        <f>+SUMIFS('2026 Lighting Rates'!C:C,'2026 Lighting Rates'!A:A,A292)</f>
        <v>1.3</v>
      </c>
      <c r="M292" s="47">
        <f t="shared" si="71"/>
        <v>13.760000000000002</v>
      </c>
      <c r="N292" s="35">
        <f t="shared" si="65"/>
        <v>12328.960000000001</v>
      </c>
      <c r="O292" s="215"/>
      <c r="P292" s="47">
        <f t="shared" si="66"/>
        <v>12.46</v>
      </c>
      <c r="Q292" s="47">
        <f t="shared" si="67"/>
        <v>1.3</v>
      </c>
      <c r="R292" s="47">
        <f t="shared" si="68"/>
        <v>13.760000000000002</v>
      </c>
      <c r="S292" s="254">
        <f t="shared" si="69"/>
        <v>12328.960000000001</v>
      </c>
      <c r="T292" s="183">
        <f t="shared" si="70"/>
        <v>0</v>
      </c>
    </row>
    <row r="293" spans="1:21" ht="17.100000000000001" customHeight="1" x14ac:dyDescent="0.25">
      <c r="A293" s="148">
        <v>616</v>
      </c>
      <c r="B293" s="148"/>
      <c r="D293" s="57">
        <v>22</v>
      </c>
      <c r="E293" s="199" t="s">
        <v>1187</v>
      </c>
      <c r="F293" s="11" t="s">
        <v>1174</v>
      </c>
      <c r="G293" s="32">
        <f>+SUMIFS('2025 Lighting BDs'!C:C,'2025 Lighting BDs'!B:B,'E-13d'!A293)</f>
        <v>8599</v>
      </c>
      <c r="H293" s="32"/>
      <c r="I293" s="30"/>
      <c r="J293" s="8"/>
      <c r="K293" s="39">
        <f>+SUMIFS('2026 Lighting Rates'!B:B,'2026 Lighting Rates'!A:A,A293)</f>
        <v>41.39</v>
      </c>
      <c r="L293" s="39">
        <f>+SUMIFS('2026 Lighting Rates'!C:C,'2026 Lighting Rates'!A:A,A293)</f>
        <v>0.34</v>
      </c>
      <c r="M293" s="47">
        <f t="shared" si="71"/>
        <v>41.730000000000004</v>
      </c>
      <c r="N293" s="35">
        <f t="shared" si="65"/>
        <v>358836.27</v>
      </c>
      <c r="O293" s="35"/>
      <c r="P293" s="47">
        <f t="shared" si="66"/>
        <v>41.39</v>
      </c>
      <c r="Q293" s="47">
        <f t="shared" si="67"/>
        <v>0.34</v>
      </c>
      <c r="R293" s="47">
        <f t="shared" si="68"/>
        <v>41.730000000000004</v>
      </c>
      <c r="S293" s="161">
        <f t="shared" si="69"/>
        <v>358836.27</v>
      </c>
      <c r="T293" s="183">
        <f t="shared" si="70"/>
        <v>0</v>
      </c>
    </row>
    <row r="294" spans="1:21" ht="17.100000000000001" customHeight="1" x14ac:dyDescent="0.25">
      <c r="A294" s="148">
        <v>615</v>
      </c>
      <c r="B294" s="148"/>
      <c r="D294" s="57">
        <v>23</v>
      </c>
      <c r="E294" s="199" t="s">
        <v>1188</v>
      </c>
      <c r="F294" s="11" t="s">
        <v>1174</v>
      </c>
      <c r="G294" s="32">
        <f>+SUMIFS('2025 Lighting BDs'!C:C,'2025 Lighting BDs'!B:B,'E-13d'!A294)</f>
        <v>30346</v>
      </c>
      <c r="H294" s="32"/>
      <c r="I294" s="8"/>
      <c r="J294" s="8"/>
      <c r="K294" s="39">
        <f>+SUMIFS('2026 Lighting Rates'!B:B,'2026 Lighting Rates'!A:A,A294)</f>
        <v>17.78</v>
      </c>
      <c r="L294" s="39">
        <f>+SUMIFS('2026 Lighting Rates'!C:C,'2026 Lighting Rates'!A:A,A294)</f>
        <v>0.34</v>
      </c>
      <c r="M294" s="47">
        <f t="shared" si="71"/>
        <v>18.12</v>
      </c>
      <c r="N294" s="35">
        <f t="shared" si="65"/>
        <v>549869.52</v>
      </c>
      <c r="O294" s="32"/>
      <c r="P294" s="47">
        <f t="shared" si="66"/>
        <v>17.78</v>
      </c>
      <c r="Q294" s="47">
        <f t="shared" si="67"/>
        <v>0.34</v>
      </c>
      <c r="R294" s="47">
        <f t="shared" si="68"/>
        <v>18.12</v>
      </c>
      <c r="S294" s="161">
        <f t="shared" si="69"/>
        <v>549869.52</v>
      </c>
      <c r="T294" s="183">
        <f t="shared" si="70"/>
        <v>0</v>
      </c>
    </row>
    <row r="295" spans="1:21" ht="17.100000000000001" customHeight="1" x14ac:dyDescent="0.25">
      <c r="A295" s="148">
        <v>622</v>
      </c>
      <c r="B295" s="148"/>
      <c r="D295" s="57">
        <v>24</v>
      </c>
      <c r="E295" s="199" t="s">
        <v>1189</v>
      </c>
      <c r="F295" s="11" t="s">
        <v>1174</v>
      </c>
      <c r="G295" s="32">
        <f>+SUMIFS('2025 Lighting BDs'!C:C,'2025 Lighting BDs'!B:B,'E-13d'!A295)</f>
        <v>4223</v>
      </c>
      <c r="H295" s="32"/>
      <c r="I295" s="30"/>
      <c r="J295" s="8"/>
      <c r="K295" s="39">
        <f>+SUMIFS('2026 Lighting Rates'!B:B,'2026 Lighting Rates'!A:A,A295)</f>
        <v>56.67</v>
      </c>
      <c r="L295" s="39">
        <f>+SUMIFS('2026 Lighting Rates'!C:C,'2026 Lighting Rates'!A:A,A295)</f>
        <v>0.34</v>
      </c>
      <c r="M295" s="47">
        <f t="shared" si="71"/>
        <v>57.010000000000005</v>
      </c>
      <c r="N295" s="35">
        <f t="shared" si="65"/>
        <v>240753.23</v>
      </c>
      <c r="O295" s="32"/>
      <c r="P295" s="47">
        <f t="shared" si="66"/>
        <v>56.67</v>
      </c>
      <c r="Q295" s="47">
        <f t="shared" si="67"/>
        <v>0.34</v>
      </c>
      <c r="R295" s="47">
        <f t="shared" si="68"/>
        <v>57.010000000000005</v>
      </c>
      <c r="S295" s="161">
        <f t="shared" si="69"/>
        <v>240753.23</v>
      </c>
      <c r="T295" s="183">
        <f t="shared" si="70"/>
        <v>0</v>
      </c>
    </row>
    <row r="296" spans="1:21" ht="17.100000000000001" customHeight="1" x14ac:dyDescent="0.25">
      <c r="A296" s="148">
        <v>623</v>
      </c>
      <c r="B296" s="148"/>
      <c r="D296" s="57">
        <v>25</v>
      </c>
      <c r="E296" s="8" t="s">
        <v>1190</v>
      </c>
      <c r="F296" s="11" t="s">
        <v>1174</v>
      </c>
      <c r="G296" s="32">
        <f>+SUMIFS('2025 Lighting BDs'!C:C,'2025 Lighting BDs'!B:B,'E-13d'!A296)</f>
        <v>2416</v>
      </c>
      <c r="I296" s="8"/>
      <c r="J296" s="8"/>
      <c r="K296" s="39">
        <f>+SUMIFS('2026 Lighting Rates'!B:B,'2026 Lighting Rates'!A:A,A296)</f>
        <v>48.78</v>
      </c>
      <c r="L296" s="39">
        <f>+SUMIFS('2026 Lighting Rates'!C:C,'2026 Lighting Rates'!A:A,A296)</f>
        <v>3.85</v>
      </c>
      <c r="M296" s="47">
        <f t="shared" si="71"/>
        <v>52.63</v>
      </c>
      <c r="N296" s="35">
        <f t="shared" si="65"/>
        <v>127154.08</v>
      </c>
      <c r="O296" s="32"/>
      <c r="P296" s="47">
        <f t="shared" si="66"/>
        <v>48.78</v>
      </c>
      <c r="Q296" s="47">
        <f t="shared" si="67"/>
        <v>3.85</v>
      </c>
      <c r="R296" s="47">
        <f t="shared" si="68"/>
        <v>52.63</v>
      </c>
      <c r="S296" s="161">
        <f t="shared" si="69"/>
        <v>127154.08</v>
      </c>
      <c r="T296" s="183">
        <f t="shared" si="70"/>
        <v>0</v>
      </c>
    </row>
    <row r="297" spans="1:21" ht="17.100000000000001" customHeight="1" x14ac:dyDescent="0.25">
      <c r="A297" s="148">
        <v>584</v>
      </c>
      <c r="B297" s="148"/>
      <c r="D297" s="57">
        <v>26</v>
      </c>
      <c r="E297" s="252" t="s">
        <v>1191</v>
      </c>
      <c r="F297" s="11" t="s">
        <v>1174</v>
      </c>
      <c r="G297" s="32">
        <f>+SUMIFS('2025 Lighting BDs'!C:C,'2025 Lighting BDs'!B:B,'E-13d'!A297)</f>
        <v>1695</v>
      </c>
      <c r="H297" s="32"/>
      <c r="I297" s="8"/>
      <c r="J297" s="8"/>
      <c r="K297" s="39">
        <f>+SUMIFS('2026 Lighting Rates'!B:B,'2026 Lighting Rates'!A:A,A297)</f>
        <v>23.38</v>
      </c>
      <c r="L297" s="39">
        <f>+SUMIFS('2026 Lighting Rates'!C:C,'2026 Lighting Rates'!A:A,A297)</f>
        <v>1.1000000000000001</v>
      </c>
      <c r="M297" s="47">
        <f t="shared" si="71"/>
        <v>24.48</v>
      </c>
      <c r="N297" s="35">
        <f t="shared" si="65"/>
        <v>41493.599999999999</v>
      </c>
      <c r="O297" s="35"/>
      <c r="P297" s="47">
        <f t="shared" si="66"/>
        <v>23.38</v>
      </c>
      <c r="Q297" s="47">
        <f t="shared" si="67"/>
        <v>1.1000000000000001</v>
      </c>
      <c r="R297" s="47">
        <f t="shared" si="68"/>
        <v>24.48</v>
      </c>
      <c r="S297" s="161">
        <f t="shared" si="69"/>
        <v>41493.599999999999</v>
      </c>
      <c r="T297" s="183">
        <f t="shared" si="70"/>
        <v>0</v>
      </c>
    </row>
    <row r="298" spans="1:21" ht="17.100000000000001" customHeight="1" x14ac:dyDescent="0.25">
      <c r="A298" s="148">
        <v>581</v>
      </c>
      <c r="B298" s="148"/>
      <c r="D298" s="57">
        <v>27</v>
      </c>
      <c r="E298" s="199" t="s">
        <v>1192</v>
      </c>
      <c r="F298" s="11" t="s">
        <v>1174</v>
      </c>
      <c r="G298" s="32">
        <f>+SUMIFS('2025 Lighting BDs'!C:C,'2025 Lighting BDs'!B:B,'E-13d'!A298)</f>
        <v>537</v>
      </c>
      <c r="H298" s="32"/>
      <c r="I298" s="8"/>
      <c r="J298" s="8"/>
      <c r="K298" s="39">
        <f>+SUMIFS('2026 Lighting Rates'!B:B,'2026 Lighting Rates'!A:A,A298)</f>
        <v>35.69</v>
      </c>
      <c r="L298" s="39">
        <f>+SUMIFS('2026 Lighting Rates'!C:C,'2026 Lighting Rates'!A:A,A298)</f>
        <v>1.1000000000000001</v>
      </c>
      <c r="M298" s="47">
        <f t="shared" si="71"/>
        <v>36.79</v>
      </c>
      <c r="N298" s="35">
        <f t="shared" si="65"/>
        <v>19756.23</v>
      </c>
      <c r="O298" s="32"/>
      <c r="P298" s="47">
        <f t="shared" si="66"/>
        <v>35.69</v>
      </c>
      <c r="Q298" s="47">
        <f t="shared" si="67"/>
        <v>1.1000000000000001</v>
      </c>
      <c r="R298" s="47">
        <f t="shared" si="68"/>
        <v>36.79</v>
      </c>
      <c r="S298" s="161">
        <f t="shared" si="69"/>
        <v>19756.23</v>
      </c>
      <c r="T298" s="183">
        <f t="shared" si="70"/>
        <v>0</v>
      </c>
    </row>
    <row r="299" spans="1:21" ht="17.100000000000001" customHeight="1" x14ac:dyDescent="0.25">
      <c r="A299" s="148">
        <v>586</v>
      </c>
      <c r="B299" s="148"/>
      <c r="D299" s="57">
        <v>28</v>
      </c>
      <c r="E299" s="199" t="s">
        <v>1193</v>
      </c>
      <c r="F299" s="11" t="s">
        <v>1174</v>
      </c>
      <c r="G299" s="32">
        <f>+SUMIFS('2025 Lighting BDs'!C:C,'2025 Lighting BDs'!B:B,'E-13d'!A299)</f>
        <v>235155</v>
      </c>
      <c r="H299" s="32"/>
      <c r="I299" s="8"/>
      <c r="J299" s="8"/>
      <c r="K299" s="39">
        <f>+SUMIFS('2026 Lighting Rates'!B:B,'2026 Lighting Rates'!A:A,A299)</f>
        <v>27.22</v>
      </c>
      <c r="L299" s="39">
        <f>+SUMIFS('2026 Lighting Rates'!C:C,'2026 Lighting Rates'!A:A,A299)</f>
        <v>1.1000000000000001</v>
      </c>
      <c r="M299" s="47">
        <f t="shared" si="71"/>
        <v>28.32</v>
      </c>
      <c r="N299" s="35">
        <f t="shared" si="65"/>
        <v>6659589.5999999996</v>
      </c>
      <c r="O299" s="32"/>
      <c r="P299" s="47">
        <f t="shared" si="66"/>
        <v>27.22</v>
      </c>
      <c r="Q299" s="47">
        <f t="shared" si="67"/>
        <v>1.1000000000000001</v>
      </c>
      <c r="R299" s="47">
        <f t="shared" si="68"/>
        <v>28.32</v>
      </c>
      <c r="S299" s="161">
        <f t="shared" si="69"/>
        <v>6659589.5999999996</v>
      </c>
      <c r="T299" s="183">
        <f t="shared" si="70"/>
        <v>0</v>
      </c>
    </row>
    <row r="300" spans="1:21" ht="17.100000000000001" customHeight="1" x14ac:dyDescent="0.25">
      <c r="A300" s="148">
        <v>585</v>
      </c>
      <c r="B300" s="148"/>
      <c r="D300" s="57">
        <v>29</v>
      </c>
      <c r="E300" s="30" t="s">
        <v>1194</v>
      </c>
      <c r="F300" s="11" t="s">
        <v>1174</v>
      </c>
      <c r="G300" s="32">
        <f>+SUMIFS('2025 Lighting BDs'!C:C,'2025 Lighting BDs'!B:B,'E-13d'!A300)</f>
        <v>1463</v>
      </c>
      <c r="H300" s="32"/>
      <c r="I300" s="8"/>
      <c r="J300" s="8"/>
      <c r="K300" s="39">
        <f>+SUMIFS('2026 Lighting Rates'!B:B,'2026 Lighting Rates'!A:A,A300)</f>
        <v>35.630000000000003</v>
      </c>
      <c r="L300" s="39">
        <f>+SUMIFS('2026 Lighting Rates'!C:C,'2026 Lighting Rates'!A:A,A300)</f>
        <v>1.1000000000000001</v>
      </c>
      <c r="M300" s="47">
        <f t="shared" si="71"/>
        <v>36.730000000000004</v>
      </c>
      <c r="N300" s="35">
        <f t="shared" si="65"/>
        <v>53735.990000000005</v>
      </c>
      <c r="O300" s="32"/>
      <c r="P300" s="47">
        <f t="shared" si="66"/>
        <v>35.630000000000003</v>
      </c>
      <c r="Q300" s="47">
        <f t="shared" si="67"/>
        <v>1.1000000000000001</v>
      </c>
      <c r="R300" s="47">
        <f t="shared" si="68"/>
        <v>36.730000000000004</v>
      </c>
      <c r="S300" s="161">
        <f t="shared" si="69"/>
        <v>53735.990000000005</v>
      </c>
      <c r="T300" s="183">
        <f t="shared" si="70"/>
        <v>0</v>
      </c>
    </row>
    <row r="301" spans="1:21" ht="17.100000000000001" customHeight="1" x14ac:dyDescent="0.25">
      <c r="A301" s="148">
        <v>590</v>
      </c>
      <c r="B301" s="148"/>
      <c r="D301" s="57">
        <v>30</v>
      </c>
      <c r="E301" s="30" t="s">
        <v>1195</v>
      </c>
      <c r="F301" s="11" t="s">
        <v>1174</v>
      </c>
      <c r="G301" s="32">
        <f>+SUMIFS('2025 Lighting BDs'!C:C,'2025 Lighting BDs'!B:B,'E-13d'!A301)</f>
        <v>274</v>
      </c>
      <c r="H301" s="32"/>
      <c r="I301" s="8"/>
      <c r="J301" s="8"/>
      <c r="K301" s="39">
        <f>+SUMIFS('2026 Lighting Rates'!B:B,'2026 Lighting Rates'!A:A,A301)</f>
        <v>30.8</v>
      </c>
      <c r="L301" s="39">
        <f>+SUMIFS('2026 Lighting Rates'!C:C,'2026 Lighting Rates'!A:A,A301)</f>
        <v>1.1000000000000001</v>
      </c>
      <c r="M301" s="47">
        <f t="shared" si="71"/>
        <v>31.900000000000002</v>
      </c>
      <c r="N301" s="35">
        <f t="shared" si="65"/>
        <v>8740.6</v>
      </c>
      <c r="O301" s="32"/>
      <c r="P301" s="47">
        <f t="shared" si="66"/>
        <v>30.8</v>
      </c>
      <c r="Q301" s="47">
        <f t="shared" si="67"/>
        <v>1.1000000000000001</v>
      </c>
      <c r="R301" s="47">
        <f t="shared" si="68"/>
        <v>31.900000000000002</v>
      </c>
      <c r="S301" s="161">
        <f t="shared" si="69"/>
        <v>8740.6</v>
      </c>
      <c r="T301" s="183">
        <f t="shared" si="70"/>
        <v>0</v>
      </c>
    </row>
    <row r="302" spans="1:21" ht="17.100000000000001" customHeight="1" x14ac:dyDescent="0.25">
      <c r="A302" s="148">
        <v>580</v>
      </c>
      <c r="B302" s="148"/>
      <c r="D302" s="57">
        <v>31</v>
      </c>
      <c r="E302" s="199" t="s">
        <v>1196</v>
      </c>
      <c r="F302" s="11" t="s">
        <v>1174</v>
      </c>
      <c r="G302" s="32">
        <f>+SUMIFS('2025 Lighting BDs'!C:C,'2025 Lighting BDs'!B:B,'E-13d'!A302)</f>
        <v>1455</v>
      </c>
      <c r="H302" s="32"/>
      <c r="I302" s="8"/>
      <c r="J302" s="8"/>
      <c r="K302" s="39">
        <f>+SUMIFS('2026 Lighting Rates'!B:B,'2026 Lighting Rates'!A:A,A302)</f>
        <v>25.79</v>
      </c>
      <c r="L302" s="39">
        <f>+SUMIFS('2026 Lighting Rates'!C:C,'2026 Lighting Rates'!A:A,A302)</f>
        <v>1.1000000000000001</v>
      </c>
      <c r="M302" s="47">
        <f t="shared" si="71"/>
        <v>26.89</v>
      </c>
      <c r="N302" s="35">
        <f t="shared" si="65"/>
        <v>39124.950000000004</v>
      </c>
      <c r="O302" s="32"/>
      <c r="P302" s="47">
        <f t="shared" si="66"/>
        <v>25.79</v>
      </c>
      <c r="Q302" s="47">
        <f t="shared" si="67"/>
        <v>1.1000000000000001</v>
      </c>
      <c r="R302" s="47">
        <f t="shared" si="68"/>
        <v>26.89</v>
      </c>
      <c r="S302" s="161">
        <f t="shared" si="69"/>
        <v>39124.950000000004</v>
      </c>
      <c r="T302" s="183">
        <f t="shared" si="70"/>
        <v>0</v>
      </c>
    </row>
    <row r="303" spans="1:21" ht="17.100000000000001" customHeight="1" x14ac:dyDescent="0.25">
      <c r="A303" s="148">
        <v>587</v>
      </c>
      <c r="B303" s="148"/>
      <c r="D303" s="57">
        <v>32</v>
      </c>
      <c r="E303" s="199" t="s">
        <v>1197</v>
      </c>
      <c r="F303" s="11" t="s">
        <v>1174</v>
      </c>
      <c r="G303" s="32">
        <f>+SUMIFS('2025 Lighting BDs'!C:C,'2025 Lighting BDs'!B:B,'E-13d'!A303)</f>
        <v>0</v>
      </c>
      <c r="H303" s="49"/>
      <c r="I303" s="49"/>
      <c r="J303" s="8"/>
      <c r="K303" s="39">
        <f>+SUMIFS('2026 Lighting Rates'!B:B,'2026 Lighting Rates'!A:A,A303)</f>
        <v>27.23</v>
      </c>
      <c r="L303" s="39">
        <f>+SUMIFS('2026 Lighting Rates'!C:C,'2026 Lighting Rates'!A:A,A303)</f>
        <v>1.1000000000000001</v>
      </c>
      <c r="M303" s="47">
        <f t="shared" si="71"/>
        <v>28.330000000000002</v>
      </c>
      <c r="N303" s="35">
        <f t="shared" si="65"/>
        <v>0</v>
      </c>
      <c r="O303" s="32"/>
      <c r="P303" s="47">
        <f t="shared" si="66"/>
        <v>27.23</v>
      </c>
      <c r="Q303" s="47">
        <f t="shared" si="67"/>
        <v>1.1000000000000001</v>
      </c>
      <c r="R303" s="47">
        <f t="shared" si="68"/>
        <v>28.330000000000002</v>
      </c>
      <c r="S303" s="161">
        <f t="shared" si="69"/>
        <v>0</v>
      </c>
      <c r="T303" s="183">
        <f t="shared" si="70"/>
        <v>0</v>
      </c>
    </row>
    <row r="304" spans="1:21" ht="17.100000000000001" customHeight="1" x14ac:dyDescent="0.25">
      <c r="A304" s="148">
        <v>589</v>
      </c>
      <c r="B304" s="148"/>
      <c r="D304" s="57">
        <v>33</v>
      </c>
      <c r="E304" s="199" t="s">
        <v>1198</v>
      </c>
      <c r="F304" s="11" t="s">
        <v>1174</v>
      </c>
      <c r="G304" s="32">
        <f>+SUMIFS('2025 Lighting BDs'!C:C,'2025 Lighting BDs'!B:B,'E-13d'!A304)</f>
        <v>1512</v>
      </c>
      <c r="H304" s="32"/>
      <c r="I304" s="32"/>
      <c r="J304" s="8"/>
      <c r="K304" s="39">
        <f>+SUMIFS('2026 Lighting Rates'!B:B,'2026 Lighting Rates'!A:A,A304)</f>
        <v>51.02</v>
      </c>
      <c r="L304" s="39">
        <f>+SUMIFS('2026 Lighting Rates'!C:C,'2026 Lighting Rates'!A:A,A304)</f>
        <v>1.68</v>
      </c>
      <c r="M304" s="47">
        <f t="shared" si="71"/>
        <v>52.7</v>
      </c>
      <c r="N304" s="35">
        <f t="shared" si="65"/>
        <v>79682.400000000009</v>
      </c>
      <c r="O304" s="32"/>
      <c r="P304" s="47">
        <f t="shared" si="66"/>
        <v>51.02</v>
      </c>
      <c r="Q304" s="47">
        <f t="shared" si="67"/>
        <v>1.68</v>
      </c>
      <c r="R304" s="47">
        <f t="shared" si="68"/>
        <v>52.7</v>
      </c>
      <c r="S304" s="161">
        <f t="shared" si="69"/>
        <v>79682.400000000009</v>
      </c>
      <c r="T304" s="183">
        <f t="shared" si="70"/>
        <v>0</v>
      </c>
    </row>
    <row r="305" spans="1:21" ht="17.100000000000001" customHeight="1" x14ac:dyDescent="0.25">
      <c r="A305" s="148">
        <v>624</v>
      </c>
      <c r="B305" s="148"/>
      <c r="D305" s="57">
        <v>34</v>
      </c>
      <c r="E305" s="199" t="s">
        <v>1199</v>
      </c>
      <c r="F305" s="11" t="s">
        <v>1174</v>
      </c>
      <c r="G305" s="32">
        <f>+SUMIFS('2025 Lighting BDs'!C:C,'2025 Lighting BDs'!B:B,'E-13d'!A305)</f>
        <v>47131</v>
      </c>
      <c r="H305" s="32"/>
      <c r="I305" s="32"/>
      <c r="J305" s="8"/>
      <c r="K305" s="39">
        <f>+SUMIFS('2026 Lighting Rates'!B:B,'2026 Lighting Rates'!A:A,A305)</f>
        <v>10.84</v>
      </c>
      <c r="L305" s="39">
        <f>+SUMIFS('2026 Lighting Rates'!C:C,'2026 Lighting Rates'!A:A,A305)</f>
        <v>1.3</v>
      </c>
      <c r="M305" s="47">
        <f t="shared" si="71"/>
        <v>12.14</v>
      </c>
      <c r="N305" s="35">
        <f t="shared" si="65"/>
        <v>572170.34000000008</v>
      </c>
      <c r="O305" s="32"/>
      <c r="P305" s="47">
        <f t="shared" si="66"/>
        <v>10.84</v>
      </c>
      <c r="Q305" s="47">
        <f t="shared" si="67"/>
        <v>1.3</v>
      </c>
      <c r="R305" s="47">
        <f t="shared" si="68"/>
        <v>12.14</v>
      </c>
      <c r="S305" s="161">
        <f t="shared" si="69"/>
        <v>572170.34000000008</v>
      </c>
      <c r="T305" s="183">
        <f t="shared" si="70"/>
        <v>0</v>
      </c>
    </row>
    <row r="306" spans="1:21" ht="17.100000000000001" customHeight="1" x14ac:dyDescent="0.25">
      <c r="A306" s="148">
        <v>582</v>
      </c>
      <c r="B306" s="148"/>
      <c r="D306" s="57">
        <v>35</v>
      </c>
      <c r="E306" s="8" t="s">
        <v>1200</v>
      </c>
      <c r="F306" s="11" t="s">
        <v>1174</v>
      </c>
      <c r="G306" s="32">
        <f>+SUMIFS('2025 Lighting BDs'!C:C,'2025 Lighting BDs'!B:B,'E-13d'!A306)</f>
        <v>192212</v>
      </c>
      <c r="H306" s="8"/>
      <c r="I306" s="8"/>
      <c r="J306" s="8"/>
      <c r="K306" s="39">
        <f>+SUMIFS('2026 Lighting Rates'!B:B,'2026 Lighting Rates'!A:A,A306)</f>
        <v>19.72</v>
      </c>
      <c r="L306" s="39">
        <f>+SUMIFS('2026 Lighting Rates'!C:C,'2026 Lighting Rates'!A:A,A306)</f>
        <v>1.1000000000000001</v>
      </c>
      <c r="M306" s="47">
        <f t="shared" si="71"/>
        <v>20.82</v>
      </c>
      <c r="N306" s="35">
        <f t="shared" si="65"/>
        <v>4001853.84</v>
      </c>
      <c r="P306" s="47">
        <f t="shared" si="66"/>
        <v>19.72</v>
      </c>
      <c r="Q306" s="47">
        <f t="shared" si="67"/>
        <v>1.1000000000000001</v>
      </c>
      <c r="R306" s="47">
        <f t="shared" si="68"/>
        <v>20.82</v>
      </c>
      <c r="S306" s="161">
        <f t="shared" si="69"/>
        <v>4001853.84</v>
      </c>
      <c r="T306" s="183">
        <f t="shared" si="70"/>
        <v>0</v>
      </c>
      <c r="U306" s="162"/>
    </row>
    <row r="307" spans="1:21" ht="17.100000000000001" customHeight="1" x14ac:dyDescent="0.25">
      <c r="A307" s="148"/>
      <c r="B307" s="148"/>
      <c r="D307" s="57">
        <v>36</v>
      </c>
      <c r="E307" s="8"/>
      <c r="F307" s="11"/>
      <c r="G307" s="49"/>
      <c r="H307" s="49"/>
      <c r="I307" s="49"/>
      <c r="J307" s="49"/>
      <c r="K307" s="47"/>
      <c r="L307" s="47"/>
      <c r="M307" s="47"/>
      <c r="N307" s="35"/>
      <c r="O307" s="8"/>
      <c r="P307" s="47"/>
      <c r="Q307" s="47"/>
      <c r="R307" s="47"/>
      <c r="S307" s="161"/>
      <c r="T307" s="43"/>
    </row>
    <row r="308" spans="1:21" ht="17.100000000000001" customHeight="1" x14ac:dyDescent="0.25">
      <c r="A308" s="148"/>
      <c r="B308" s="148"/>
      <c r="D308" s="57">
        <v>37</v>
      </c>
      <c r="E308" s="8"/>
      <c r="F308" s="8"/>
      <c r="G308" s="8"/>
      <c r="H308" s="8"/>
      <c r="I308" s="8"/>
      <c r="J308" s="8"/>
      <c r="K308" s="8"/>
      <c r="L308" s="8"/>
      <c r="M308" s="47"/>
      <c r="N308" s="35"/>
      <c r="P308" s="47"/>
      <c r="Q308" s="47"/>
      <c r="R308" s="47"/>
      <c r="S308" s="161"/>
      <c r="T308" s="43"/>
    </row>
    <row r="309" spans="1:21" ht="17.100000000000001" customHeight="1" x14ac:dyDescent="0.25">
      <c r="A309" s="148"/>
      <c r="B309" s="148"/>
      <c r="D309" s="57">
        <v>38</v>
      </c>
      <c r="E309" s="8"/>
      <c r="F309" s="8"/>
      <c r="G309" s="8"/>
      <c r="H309" s="8"/>
      <c r="I309" s="8"/>
      <c r="J309" s="8"/>
      <c r="K309" s="8"/>
      <c r="L309" s="8"/>
      <c r="M309" s="47"/>
      <c r="N309" s="35"/>
      <c r="P309" s="47"/>
      <c r="Q309" s="47"/>
      <c r="R309" s="47"/>
      <c r="S309" s="161"/>
      <c r="T309" s="43"/>
    </row>
    <row r="310" spans="1:21" ht="17.100000000000001" customHeight="1" x14ac:dyDescent="0.25">
      <c r="A310" s="148"/>
      <c r="B310" s="148"/>
      <c r="D310" s="57">
        <v>39</v>
      </c>
      <c r="E310" s="8"/>
      <c r="F310" s="8"/>
      <c r="G310" s="8"/>
      <c r="H310" s="8"/>
      <c r="I310" s="8"/>
      <c r="J310" s="8"/>
      <c r="K310" s="8"/>
      <c r="L310" s="8"/>
      <c r="M310" s="47"/>
      <c r="N310" s="35"/>
      <c r="P310" s="47"/>
      <c r="Q310" s="47"/>
      <c r="R310" s="47"/>
      <c r="S310" s="161"/>
      <c r="T310" s="43"/>
    </row>
    <row r="311" spans="1:21" ht="17.100000000000001" customHeight="1" thickBot="1" x14ac:dyDescent="0.3">
      <c r="A311" s="148"/>
      <c r="B311" s="148"/>
      <c r="D311" s="58">
        <v>40</v>
      </c>
      <c r="E311" s="9"/>
      <c r="F311" s="9"/>
      <c r="G311" s="216"/>
      <c r="H311" s="9"/>
      <c r="I311" s="9"/>
      <c r="J311" s="9"/>
      <c r="K311" s="163"/>
      <c r="L311" s="163"/>
      <c r="M311" s="163"/>
      <c r="N311" s="164"/>
      <c r="O311" s="9"/>
      <c r="P311" s="9"/>
      <c r="Q311" s="9"/>
      <c r="R311" s="13"/>
      <c r="S311" s="9"/>
      <c r="T311" s="13" t="s">
        <v>926</v>
      </c>
    </row>
    <row r="312" spans="1:21" ht="17.100000000000001" customHeight="1" x14ac:dyDescent="0.25">
      <c r="A312" s="148"/>
      <c r="B312" s="148"/>
      <c r="D312" s="8" t="s">
        <v>1002</v>
      </c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 t="str">
        <f>+R104</f>
        <v>Recap Schedules: E-13a</v>
      </c>
      <c r="S312" s="8"/>
      <c r="T312" s="8"/>
    </row>
    <row r="313" spans="1:21" ht="17.100000000000001" customHeight="1" thickBot="1" x14ac:dyDescent="0.3">
      <c r="A313" s="148"/>
      <c r="B313" s="148"/>
      <c r="D313" s="9" t="str">
        <f>+$D$1</f>
        <v>SCHEDULE E-13d</v>
      </c>
      <c r="E313" s="9"/>
      <c r="F313" s="9"/>
      <c r="G313" s="9"/>
      <c r="H313" s="9"/>
      <c r="I313" s="9" t="str">
        <f>+$I$1</f>
        <v>REVENUE BY RATE SCHEDULE - LIGHTING SCHEDULE CALCULATION</v>
      </c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 t="s">
        <v>1201</v>
      </c>
    </row>
    <row r="314" spans="1:21" ht="17.100000000000001" customHeight="1" x14ac:dyDescent="0.25">
      <c r="A314" s="148"/>
      <c r="B314" s="148"/>
      <c r="D314" s="8" t="s">
        <v>307</v>
      </c>
      <c r="E314" s="8"/>
      <c r="F314" s="8"/>
      <c r="G314" s="11"/>
      <c r="H314" s="8"/>
      <c r="I314" s="11" t="s">
        <v>1005</v>
      </c>
      <c r="J314" s="8" t="s">
        <v>1228</v>
      </c>
      <c r="K314" s="8"/>
      <c r="L314" s="99"/>
      <c r="M314" s="99"/>
      <c r="N314" s="8"/>
      <c r="O314" s="8"/>
      <c r="P314" s="99"/>
      <c r="Q314" s="99" t="s">
        <v>309</v>
      </c>
      <c r="R314" s="8"/>
      <c r="S314" s="8"/>
      <c r="T314" s="10"/>
    </row>
    <row r="315" spans="1:21" ht="17.100000000000001" customHeight="1" x14ac:dyDescent="0.25">
      <c r="A315" s="148"/>
      <c r="B315" s="148"/>
      <c r="D315" s="8"/>
      <c r="E315" s="8"/>
      <c r="F315" s="8"/>
      <c r="G315" s="8"/>
      <c r="H315" s="8"/>
      <c r="I315" s="8"/>
      <c r="J315" s="8" t="s">
        <v>1229</v>
      </c>
      <c r="K315" s="8"/>
      <c r="L315" s="11"/>
      <c r="M315" s="10"/>
      <c r="N315" s="8"/>
      <c r="O315" s="8"/>
      <c r="P315" s="8"/>
      <c r="Q315" s="224"/>
      <c r="R315" s="117" t="s">
        <v>916</v>
      </c>
      <c r="S315" s="116" t="s">
        <v>1512</v>
      </c>
      <c r="T315" s="11"/>
    </row>
    <row r="316" spans="1:21" ht="17.100000000000001" customHeight="1" x14ac:dyDescent="0.25">
      <c r="A316" s="148"/>
      <c r="B316" s="148"/>
      <c r="D316" s="8" t="s">
        <v>310</v>
      </c>
      <c r="E316" s="8"/>
      <c r="F316" s="8"/>
      <c r="G316" s="8"/>
      <c r="H316" s="8"/>
      <c r="I316" s="8"/>
      <c r="J316" s="8" t="s">
        <v>1230</v>
      </c>
      <c r="K316" s="8"/>
      <c r="L316" s="11"/>
      <c r="M316" s="10"/>
      <c r="N316" s="11"/>
      <c r="O316" s="11"/>
      <c r="P316" s="8"/>
      <c r="Q316" s="11"/>
      <c r="R316" s="265"/>
      <c r="S316" s="116"/>
      <c r="T316" s="11"/>
    </row>
    <row r="317" spans="1:21" ht="17.100000000000001" customHeight="1" x14ac:dyDescent="0.25">
      <c r="A317" s="148"/>
      <c r="B317" s="148"/>
      <c r="D317" s="8"/>
      <c r="E317" s="8"/>
      <c r="F317" s="8"/>
      <c r="G317" s="8"/>
      <c r="H317" s="8"/>
      <c r="I317" s="8"/>
      <c r="J317" s="8" t="s">
        <v>1231</v>
      </c>
      <c r="K317" s="8"/>
      <c r="L317" s="11"/>
      <c r="M317" s="10"/>
      <c r="N317" s="11"/>
      <c r="O317" s="11"/>
      <c r="P317" s="8"/>
      <c r="Q317" s="11"/>
      <c r="R317" s="265"/>
      <c r="S317" s="116"/>
      <c r="T317" s="11"/>
    </row>
    <row r="318" spans="1:21" ht="17.100000000000001" customHeight="1" thickBot="1" x14ac:dyDescent="0.3">
      <c r="A318" s="148"/>
      <c r="B318" s="148"/>
      <c r="D318" s="9" t="str">
        <f>+$D$6</f>
        <v>DOCKET No. 20240026-EI</v>
      </c>
      <c r="E318" s="9"/>
      <c r="F318" s="9"/>
      <c r="G318" s="9"/>
      <c r="H318" s="9" t="str">
        <f>IF(+$H$8="","",$H$8)</f>
        <v/>
      </c>
      <c r="I318" s="9"/>
      <c r="J318" s="9"/>
      <c r="K318" s="58"/>
      <c r="L318" s="9"/>
      <c r="M318" s="9"/>
      <c r="N318" s="9"/>
      <c r="O318" s="9"/>
      <c r="P318" s="9"/>
      <c r="Q318" s="9"/>
      <c r="R318" s="264"/>
      <c r="S318" s="114" t="s">
        <v>1519</v>
      </c>
      <c r="T318" s="9"/>
    </row>
    <row r="319" spans="1:21" ht="17.100000000000001" customHeight="1" x14ac:dyDescent="0.25">
      <c r="A319" s="148"/>
      <c r="B319" s="148"/>
      <c r="D319" s="225"/>
      <c r="E319" s="383" t="s">
        <v>946</v>
      </c>
      <c r="F319" s="383"/>
      <c r="G319" s="383"/>
      <c r="H319" s="383"/>
      <c r="I319" s="383"/>
      <c r="J319" s="383"/>
      <c r="K319" s="383"/>
      <c r="L319" s="383"/>
      <c r="M319" s="383"/>
      <c r="N319" s="383"/>
      <c r="O319" s="383"/>
      <c r="P319" s="383"/>
      <c r="Q319" s="383"/>
      <c r="R319" s="383"/>
      <c r="S319" s="383"/>
      <c r="T319" s="383"/>
    </row>
    <row r="320" spans="1:21" ht="17.100000000000001" customHeight="1" x14ac:dyDescent="0.25">
      <c r="A320" s="148"/>
      <c r="B320" s="148"/>
      <c r="D320" s="8"/>
      <c r="E320" s="57"/>
      <c r="F320" s="12"/>
      <c r="G320" s="12"/>
      <c r="H320" s="12"/>
      <c r="I320" s="12"/>
      <c r="J320" s="12"/>
      <c r="K320" s="226"/>
      <c r="L320" s="249" t="s">
        <v>947</v>
      </c>
      <c r="M320" s="226"/>
      <c r="N320" s="226"/>
      <c r="O320" s="226"/>
      <c r="P320" s="226"/>
      <c r="Q320" s="249" t="s">
        <v>871</v>
      </c>
      <c r="R320" s="226"/>
      <c r="S320" s="226"/>
      <c r="T320" s="12"/>
    </row>
    <row r="321" spans="1:22" ht="17.100000000000001" customHeight="1" x14ac:dyDescent="0.25">
      <c r="A321" s="148"/>
      <c r="B321" s="148"/>
      <c r="D321" s="8"/>
      <c r="E321" s="57"/>
      <c r="F321" s="12"/>
      <c r="G321" s="57" t="s">
        <v>948</v>
      </c>
      <c r="H321" s="12" t="s">
        <v>949</v>
      </c>
      <c r="I321" s="57"/>
      <c r="J321" s="57"/>
      <c r="K321" s="57" t="s">
        <v>950</v>
      </c>
      <c r="L321" s="57" t="s">
        <v>950</v>
      </c>
      <c r="M321" s="57" t="s">
        <v>951</v>
      </c>
      <c r="N321" s="12" t="s">
        <v>806</v>
      </c>
      <c r="O321" s="12"/>
      <c r="P321" s="57" t="s">
        <v>950</v>
      </c>
      <c r="Q321" s="57" t="s">
        <v>950</v>
      </c>
      <c r="R321" s="57" t="s">
        <v>951</v>
      </c>
      <c r="S321" s="57" t="s">
        <v>806</v>
      </c>
      <c r="T321" s="57"/>
    </row>
    <row r="322" spans="1:22" ht="17.100000000000001" customHeight="1" x14ac:dyDescent="0.25">
      <c r="A322" s="148"/>
      <c r="B322" s="148"/>
      <c r="D322" s="57" t="s">
        <v>313</v>
      </c>
      <c r="E322" s="57" t="s">
        <v>314</v>
      </c>
      <c r="F322" s="57"/>
      <c r="G322" s="57" t="s">
        <v>952</v>
      </c>
      <c r="H322" s="57" t="s">
        <v>950</v>
      </c>
      <c r="I322" s="12" t="s">
        <v>948</v>
      </c>
      <c r="J322" s="12"/>
      <c r="K322" s="12" t="s">
        <v>953</v>
      </c>
      <c r="L322" s="12" t="s">
        <v>954</v>
      </c>
      <c r="M322" s="12" t="s">
        <v>950</v>
      </c>
      <c r="N322" s="57" t="s">
        <v>335</v>
      </c>
      <c r="O322" s="57"/>
      <c r="P322" s="12" t="s">
        <v>953</v>
      </c>
      <c r="Q322" s="12" t="s">
        <v>954</v>
      </c>
      <c r="R322" s="12" t="s">
        <v>950</v>
      </c>
      <c r="S322" s="12" t="s">
        <v>335</v>
      </c>
      <c r="T322" s="12" t="s">
        <v>855</v>
      </c>
    </row>
    <row r="323" spans="1:22" ht="17.100000000000001" customHeight="1" thickBot="1" x14ac:dyDescent="0.3">
      <c r="A323" s="148"/>
      <c r="B323" s="148"/>
      <c r="D323" s="58" t="s">
        <v>319</v>
      </c>
      <c r="E323" s="58" t="s">
        <v>953</v>
      </c>
      <c r="F323" s="58"/>
      <c r="G323" s="58" t="s">
        <v>955</v>
      </c>
      <c r="H323" s="58" t="s">
        <v>710</v>
      </c>
      <c r="I323" s="14" t="s">
        <v>710</v>
      </c>
      <c r="J323" s="14"/>
      <c r="K323" s="14" t="s">
        <v>956</v>
      </c>
      <c r="L323" s="14" t="s">
        <v>956</v>
      </c>
      <c r="M323" s="14" t="s">
        <v>956</v>
      </c>
      <c r="N323" s="14" t="s">
        <v>317</v>
      </c>
      <c r="O323" s="14"/>
      <c r="P323" s="14" t="s">
        <v>956</v>
      </c>
      <c r="Q323" s="14" t="s">
        <v>956</v>
      </c>
      <c r="R323" s="14" t="s">
        <v>956</v>
      </c>
      <c r="S323" s="14" t="s">
        <v>317</v>
      </c>
      <c r="T323" s="14" t="s">
        <v>325</v>
      </c>
    </row>
    <row r="324" spans="1:22" ht="17.100000000000001" customHeight="1" x14ac:dyDescent="0.25">
      <c r="A324" s="148"/>
      <c r="B324" s="148"/>
      <c r="D324" s="57">
        <v>1</v>
      </c>
      <c r="E324" s="380" t="s">
        <v>927</v>
      </c>
      <c r="F324" s="380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</row>
    <row r="325" spans="1:22" ht="17.100000000000001" customHeight="1" x14ac:dyDescent="0.25">
      <c r="A325" s="148"/>
      <c r="B325" s="148"/>
      <c r="D325" s="57">
        <v>2</v>
      </c>
      <c r="E325" s="30"/>
      <c r="F325" s="8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</row>
    <row r="326" spans="1:22" ht="17.100000000000001" customHeight="1" x14ac:dyDescent="0.25">
      <c r="A326" s="148">
        <v>525</v>
      </c>
      <c r="B326" s="148"/>
      <c r="D326" s="57">
        <v>3</v>
      </c>
      <c r="E326" s="199" t="s">
        <v>1202</v>
      </c>
      <c r="F326" s="11" t="s">
        <v>1174</v>
      </c>
      <c r="G326" s="32">
        <f>+SUMIFS('2025 Lighting BDs'!C:C,'2025 Lighting BDs'!B:B,'E-13d'!A326)</f>
        <v>43526</v>
      </c>
      <c r="H326" s="32"/>
      <c r="I326" s="32"/>
      <c r="J326" s="32"/>
      <c r="K326" s="39">
        <f>+SUMIFS('2026 Lighting Rates'!B:B,'2026 Lighting Rates'!A:A,A326)</f>
        <v>32.49</v>
      </c>
      <c r="L326" s="39">
        <f>+SUMIFS('2026 Lighting Rates'!C:C,'2026 Lighting Rates'!A:A,A326)</f>
        <v>1.1000000000000001</v>
      </c>
      <c r="M326" s="47">
        <f t="shared" ref="M326:M327" si="72">+K326+L326</f>
        <v>33.590000000000003</v>
      </c>
      <c r="N326" s="35">
        <f>+M326*G326</f>
        <v>1462038.34</v>
      </c>
      <c r="O326" s="32"/>
      <c r="P326" s="47">
        <f t="shared" ref="P326:P327" si="73">+K326</f>
        <v>32.49</v>
      </c>
      <c r="Q326" s="47">
        <f t="shared" ref="Q326:Q327" si="74">+L326</f>
        <v>1.1000000000000001</v>
      </c>
      <c r="R326" s="47">
        <f t="shared" ref="R326:R327" si="75">+P326+Q326</f>
        <v>33.590000000000003</v>
      </c>
      <c r="S326" s="161">
        <f>+R326*G326</f>
        <v>1462038.34</v>
      </c>
      <c r="T326" s="183">
        <f t="shared" ref="T326:T328" si="76">IF(S326=0,0,(S326-N326)/N326)</f>
        <v>0</v>
      </c>
      <c r="V326" s="160"/>
    </row>
    <row r="327" spans="1:22" ht="17.100000000000001" customHeight="1" x14ac:dyDescent="0.25">
      <c r="A327" s="148">
        <v>641</v>
      </c>
      <c r="B327" s="148"/>
      <c r="D327" s="57">
        <v>4</v>
      </c>
      <c r="E327" s="255" t="s">
        <v>1203</v>
      </c>
      <c r="F327" s="256" t="s">
        <v>1174</v>
      </c>
      <c r="G327" s="32">
        <f>+SUMIFS('2025 Lighting BDs'!C:C,'2025 Lighting BDs'!B:B,'E-13d'!A327)</f>
        <v>413</v>
      </c>
      <c r="H327" s="32"/>
      <c r="I327" s="32"/>
      <c r="J327" s="32"/>
      <c r="K327" s="39">
        <f>+SUMIFS('2026 Lighting Rates'!B:B,'2026 Lighting Rates'!A:A,A327)</f>
        <v>6.94</v>
      </c>
      <c r="L327" s="39">
        <f>+SUMIFS('2026 Lighting Rates'!C:C,'2026 Lighting Rates'!A:A,A327)</f>
        <v>0.34</v>
      </c>
      <c r="M327" s="47">
        <f t="shared" si="72"/>
        <v>7.28</v>
      </c>
      <c r="N327" s="35">
        <f>+M327*G327</f>
        <v>3006.6400000000003</v>
      </c>
      <c r="O327" s="32"/>
      <c r="P327" s="47">
        <f t="shared" si="73"/>
        <v>6.94</v>
      </c>
      <c r="Q327" s="47">
        <f t="shared" si="74"/>
        <v>0.34</v>
      </c>
      <c r="R327" s="47">
        <f t="shared" si="75"/>
        <v>7.28</v>
      </c>
      <c r="S327" s="161">
        <f>+R327*G327</f>
        <v>3006.6400000000003</v>
      </c>
      <c r="T327" s="183">
        <f t="shared" si="76"/>
        <v>0</v>
      </c>
    </row>
    <row r="328" spans="1:22" ht="17.100000000000001" customHeight="1" x14ac:dyDescent="0.25">
      <c r="A328" s="148"/>
      <c r="B328" s="148"/>
      <c r="D328" s="57">
        <v>5</v>
      </c>
      <c r="E328" s="8" t="s">
        <v>1204</v>
      </c>
      <c r="F328" s="8"/>
      <c r="G328" s="165">
        <f>SUM($G$274:$G$307)+G326+G327</f>
        <v>1882698</v>
      </c>
      <c r="H328" s="166"/>
      <c r="I328" s="32"/>
      <c r="J328" s="32"/>
      <c r="K328" s="32"/>
      <c r="L328" s="52"/>
      <c r="M328" s="32"/>
      <c r="N328" s="167">
        <f>SUM($N$274:$N$306)+N326+N327</f>
        <v>35934708.680000007</v>
      </c>
      <c r="O328" s="35"/>
      <c r="P328" s="32"/>
      <c r="Q328" s="32"/>
      <c r="R328" s="32"/>
      <c r="S328" s="167">
        <f>SUM($S$274:$S$306)+S326+S327</f>
        <v>35934708.680000007</v>
      </c>
      <c r="T328" s="183">
        <f t="shared" si="76"/>
        <v>0</v>
      </c>
    </row>
    <row r="329" spans="1:22" ht="17.100000000000001" customHeight="1" x14ac:dyDescent="0.25">
      <c r="A329" s="148"/>
      <c r="B329" s="148"/>
      <c r="D329" s="57">
        <v>6</v>
      </c>
      <c r="O329" s="35"/>
    </row>
    <row r="330" spans="1:22" ht="17.100000000000001" customHeight="1" x14ac:dyDescent="0.25">
      <c r="A330" s="148"/>
      <c r="B330" s="148"/>
      <c r="D330" s="57">
        <v>7</v>
      </c>
    </row>
    <row r="331" spans="1:22" ht="17.100000000000001" customHeight="1" x14ac:dyDescent="0.25">
      <c r="A331" s="148"/>
      <c r="B331" s="148"/>
      <c r="D331" s="57">
        <v>8</v>
      </c>
      <c r="E331" s="255" t="s">
        <v>1205</v>
      </c>
      <c r="F331" s="229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</row>
    <row r="332" spans="1:22" ht="17.100000000000001" customHeight="1" x14ac:dyDescent="0.25">
      <c r="A332" s="148">
        <v>563</v>
      </c>
      <c r="B332" s="148"/>
      <c r="D332" s="57">
        <v>9</v>
      </c>
      <c r="E332" s="30" t="s">
        <v>1206</v>
      </c>
      <c r="F332" s="8"/>
      <c r="G332" s="32">
        <f>+SUMIFS('2025 Lighting BDs'!C:C,'2025 Lighting BDs'!B:B,'E-13d'!A332)</f>
        <v>120</v>
      </c>
      <c r="J332" s="32"/>
      <c r="K332" s="39">
        <f>+SUMIFS('2026 Lighting Rates'!B:B,'2026 Lighting Rates'!A:A,A332)</f>
        <v>8.39</v>
      </c>
      <c r="L332" s="39">
        <f>+SUMIFS('2026 Lighting Rates'!C:C,'2026 Lighting Rates'!A:A,A332)</f>
        <v>1.43</v>
      </c>
      <c r="M332" s="51">
        <f>+K332+L332</f>
        <v>9.82</v>
      </c>
      <c r="N332" s="161">
        <f>+M332*G332</f>
        <v>1178.4000000000001</v>
      </c>
      <c r="O332" s="32"/>
      <c r="P332" s="47">
        <f t="shared" ref="P332:P333" si="77">+K332</f>
        <v>8.39</v>
      </c>
      <c r="Q332" s="47">
        <f t="shared" ref="Q332:Q333" si="78">+L332</f>
        <v>1.43</v>
      </c>
      <c r="R332" s="47">
        <f t="shared" ref="R332:R333" si="79">+P332+Q332</f>
        <v>9.82</v>
      </c>
      <c r="S332" s="35">
        <f>+R332*G332</f>
        <v>1178.4000000000001</v>
      </c>
      <c r="T332" s="257">
        <f t="shared" ref="T332:T335" si="80">IF(S332=0,0,(S332-N332)/N332)</f>
        <v>0</v>
      </c>
    </row>
    <row r="333" spans="1:22" ht="17.100000000000001" customHeight="1" x14ac:dyDescent="0.25">
      <c r="A333" s="148">
        <v>569</v>
      </c>
      <c r="B333" s="148"/>
      <c r="D333" s="57">
        <v>10</v>
      </c>
      <c r="E333" s="8" t="s">
        <v>1207</v>
      </c>
      <c r="F333" s="8"/>
      <c r="G333" s="32">
        <f>+SUMIFS('2025 Lighting BDs'!C:C,'2025 Lighting BDs'!B:B,'E-13d'!A333)</f>
        <v>3360</v>
      </c>
      <c r="J333" s="32"/>
      <c r="K333" s="39">
        <f>+SUMIFS('2026 Lighting Rates'!B:B,'2026 Lighting Rates'!A:A,A333)</f>
        <v>4.75</v>
      </c>
      <c r="L333" s="39">
        <f>+SUMIFS('2026 Lighting Rates'!C:C,'2026 Lighting Rates'!A:A,A333)</f>
        <v>0.06</v>
      </c>
      <c r="M333" s="51">
        <f>+K333+L333</f>
        <v>4.8099999999999996</v>
      </c>
      <c r="N333" s="156">
        <f>+M333*G333</f>
        <v>16161.599999999999</v>
      </c>
      <c r="O333" s="32"/>
      <c r="P333" s="47">
        <f t="shared" si="77"/>
        <v>4.75</v>
      </c>
      <c r="Q333" s="47">
        <f t="shared" si="78"/>
        <v>0.06</v>
      </c>
      <c r="R333" s="47">
        <f t="shared" si="79"/>
        <v>4.8099999999999996</v>
      </c>
      <c r="S333" s="35">
        <f>+R333*G333</f>
        <v>16161.599999999999</v>
      </c>
      <c r="T333" s="257">
        <f t="shared" si="80"/>
        <v>0</v>
      </c>
    </row>
    <row r="334" spans="1:22" ht="17.100000000000001" customHeight="1" x14ac:dyDescent="0.25">
      <c r="A334" s="148"/>
      <c r="B334" s="148"/>
      <c r="D334" s="57">
        <v>11</v>
      </c>
      <c r="E334" s="8"/>
      <c r="F334" s="8"/>
      <c r="G334" s="32"/>
      <c r="H334" s="32"/>
      <c r="I334" s="32"/>
      <c r="J334" s="32"/>
      <c r="K334" s="39"/>
      <c r="L334" s="39"/>
      <c r="M334" s="51"/>
      <c r="N334" s="156"/>
      <c r="O334" s="32"/>
      <c r="P334" s="47"/>
      <c r="Q334" s="51"/>
      <c r="R334" s="47"/>
      <c r="S334" s="35"/>
      <c r="T334" s="257"/>
    </row>
    <row r="335" spans="1:22" ht="17.100000000000001" customHeight="1" x14ac:dyDescent="0.25">
      <c r="A335" s="148"/>
      <c r="B335" s="148"/>
      <c r="D335" s="57">
        <v>12</v>
      </c>
      <c r="E335" s="258" t="s">
        <v>1208</v>
      </c>
      <c r="F335" s="8"/>
      <c r="G335" s="165">
        <f>+G332+G333+G334</f>
        <v>3480</v>
      </c>
      <c r="H335" s="166"/>
      <c r="I335" s="32"/>
      <c r="J335" s="32"/>
      <c r="K335" s="32"/>
      <c r="L335" s="32"/>
      <c r="M335" s="32"/>
      <c r="N335" s="167">
        <f>+N332+N333+N334</f>
        <v>17340</v>
      </c>
      <c r="O335" s="32"/>
      <c r="P335" s="8"/>
      <c r="Q335" s="32"/>
      <c r="R335" s="32"/>
      <c r="S335" s="167">
        <f>+S332+S333+S334</f>
        <v>17340</v>
      </c>
      <c r="T335" s="257">
        <f t="shared" si="80"/>
        <v>0</v>
      </c>
    </row>
    <row r="336" spans="1:22" ht="17.100000000000001" customHeight="1" x14ac:dyDescent="0.25">
      <c r="A336" s="148"/>
      <c r="B336" s="148"/>
      <c r="D336" s="57">
        <v>13</v>
      </c>
      <c r="E336" s="32"/>
      <c r="F336" s="32"/>
      <c r="T336" s="227"/>
    </row>
    <row r="337" spans="1:20" ht="17.100000000000001" customHeight="1" x14ac:dyDescent="0.25">
      <c r="A337" s="148"/>
      <c r="B337" s="148"/>
      <c r="D337" s="57">
        <v>14</v>
      </c>
      <c r="E337" s="255" t="s">
        <v>1256</v>
      </c>
      <c r="F337" s="32"/>
      <c r="G337" s="32"/>
      <c r="H337" s="52"/>
      <c r="I337" s="32"/>
      <c r="J337" s="32"/>
      <c r="K337" s="52"/>
      <c r="L337" s="8"/>
      <c r="M337" s="8"/>
      <c r="N337" s="8"/>
      <c r="O337" s="8"/>
      <c r="P337" s="47"/>
      <c r="Q337" s="52"/>
      <c r="R337" s="52"/>
      <c r="S337" s="32"/>
    </row>
    <row r="338" spans="1:20" ht="17.100000000000001" customHeight="1" x14ac:dyDescent="0.25">
      <c r="A338" s="148"/>
      <c r="B338" s="148"/>
      <c r="D338" s="57">
        <v>15</v>
      </c>
      <c r="E338" s="32" t="s">
        <v>1257</v>
      </c>
      <c r="F338" s="32"/>
      <c r="N338" s="35">
        <f>+'LS-2 Facilities Input'!C2</f>
        <v>5330833.4751721025</v>
      </c>
      <c r="O338" s="8"/>
      <c r="P338" s="8"/>
      <c r="Q338" s="8"/>
      <c r="S338" s="35">
        <f>+N338</f>
        <v>5330833.4751721025</v>
      </c>
      <c r="T338" s="257">
        <f t="shared" ref="T338:T339" si="81">IF(S338=0,0,(S338-N338)/N338)</f>
        <v>0</v>
      </c>
    </row>
    <row r="339" spans="1:20" ht="17.100000000000001" customHeight="1" x14ac:dyDescent="0.25">
      <c r="A339" s="148"/>
      <c r="B339" s="148"/>
      <c r="D339" s="57">
        <v>16</v>
      </c>
      <c r="E339" s="258" t="s">
        <v>1258</v>
      </c>
      <c r="F339" s="32"/>
      <c r="G339" s="32"/>
      <c r="H339" s="52"/>
      <c r="I339" s="32"/>
      <c r="J339" s="32"/>
      <c r="K339" s="52"/>
      <c r="L339" s="8"/>
      <c r="M339" s="8"/>
      <c r="N339" s="167">
        <f>+N336+N337+N338</f>
        <v>5330833.4751721025</v>
      </c>
      <c r="O339" s="8"/>
      <c r="P339" s="47"/>
      <c r="Q339" s="52"/>
      <c r="R339" s="52"/>
      <c r="S339" s="167">
        <f>+S336+S337+S338</f>
        <v>5330833.4751721025</v>
      </c>
      <c r="T339" s="257">
        <f t="shared" si="81"/>
        <v>0</v>
      </c>
    </row>
    <row r="340" spans="1:20" ht="17.100000000000001" customHeight="1" x14ac:dyDescent="0.25">
      <c r="A340" s="148"/>
      <c r="B340" s="148"/>
      <c r="D340" s="57">
        <v>17</v>
      </c>
      <c r="E340" s="32"/>
      <c r="F340" s="32"/>
      <c r="G340" s="32"/>
      <c r="H340" s="32"/>
      <c r="I340" s="32"/>
      <c r="J340" s="32"/>
      <c r="K340" s="8"/>
      <c r="L340" s="8"/>
      <c r="M340" s="8"/>
      <c r="N340" s="8"/>
      <c r="O340" s="8"/>
      <c r="P340" s="8"/>
      <c r="Q340" s="8"/>
      <c r="R340" s="47"/>
      <c r="S340" s="32"/>
      <c r="T340" s="227"/>
    </row>
    <row r="341" spans="1:20" ht="17.100000000000001" customHeight="1" thickBot="1" x14ac:dyDescent="0.3">
      <c r="A341" s="148"/>
      <c r="B341" s="148"/>
      <c r="D341" s="57">
        <v>18</v>
      </c>
      <c r="E341" s="193" t="s">
        <v>1209</v>
      </c>
      <c r="F341" s="8"/>
      <c r="G341" s="32"/>
      <c r="H341" s="32"/>
      <c r="I341" s="32"/>
      <c r="J341" s="32"/>
      <c r="K341" s="8"/>
      <c r="L341" s="8"/>
      <c r="M341" s="8"/>
      <c r="N341" s="259">
        <f>+N246+N328+N335+N339</f>
        <v>82707820.715172112</v>
      </c>
      <c r="P341" s="8"/>
      <c r="Q341" s="8"/>
      <c r="R341" s="32"/>
      <c r="S341" s="259">
        <f>+S246+S328+S335+S339</f>
        <v>82707820.715172112</v>
      </c>
      <c r="T341" s="257">
        <f t="shared" ref="T341" si="82">IF(S341=0,0,(S341-N341)/N341)</f>
        <v>0</v>
      </c>
    </row>
    <row r="342" spans="1:20" ht="17.100000000000001" customHeight="1" thickTop="1" x14ac:dyDescent="0.25">
      <c r="A342" s="148"/>
      <c r="B342" s="148"/>
      <c r="D342" s="57">
        <v>19</v>
      </c>
      <c r="E342" s="32"/>
      <c r="F342" s="32"/>
      <c r="G342" s="32"/>
      <c r="H342" s="32"/>
      <c r="I342" s="32"/>
      <c r="J342" s="32"/>
      <c r="K342" s="8"/>
      <c r="L342" s="8"/>
      <c r="M342" s="8"/>
      <c r="N342" s="218"/>
      <c r="O342" s="8"/>
      <c r="P342" s="8"/>
      <c r="Q342" s="8"/>
      <c r="R342" s="52"/>
      <c r="S342" s="32"/>
      <c r="T342" s="32"/>
    </row>
    <row r="343" spans="1:20" ht="17.100000000000001" customHeight="1" x14ac:dyDescent="0.25">
      <c r="A343" s="148"/>
      <c r="B343" s="148"/>
      <c r="D343" s="57">
        <v>20</v>
      </c>
      <c r="E343" s="32"/>
      <c r="F343" s="32"/>
      <c r="G343" s="32"/>
      <c r="H343" s="32"/>
      <c r="I343" s="32"/>
      <c r="J343" s="32"/>
      <c r="K343" s="8"/>
      <c r="L343" s="8"/>
      <c r="M343" s="8"/>
      <c r="N343" s="8"/>
      <c r="O343" s="8"/>
      <c r="P343" s="8"/>
      <c r="Q343" s="8"/>
      <c r="R343" s="52"/>
      <c r="S343" s="32"/>
      <c r="T343" s="32"/>
    </row>
    <row r="344" spans="1:20" ht="17.100000000000001" customHeight="1" x14ac:dyDescent="0.25">
      <c r="A344" s="148"/>
      <c r="B344" s="148"/>
      <c r="D344" s="57">
        <v>21</v>
      </c>
      <c r="E344" s="32"/>
      <c r="F344" s="32"/>
      <c r="G344" s="32"/>
      <c r="H344" s="32"/>
      <c r="I344" s="32"/>
      <c r="J344" s="32"/>
      <c r="K344" s="52"/>
      <c r="L344" s="8"/>
      <c r="M344" s="8"/>
      <c r="N344" s="215"/>
      <c r="O344" s="8"/>
      <c r="P344" s="47"/>
      <c r="Q344" s="52"/>
      <c r="R344" s="70"/>
      <c r="S344" s="215"/>
      <c r="T344" s="227"/>
    </row>
    <row r="345" spans="1:20" ht="17.100000000000001" customHeight="1" x14ac:dyDescent="0.25">
      <c r="A345" s="148"/>
      <c r="B345" s="148"/>
      <c r="D345" s="57">
        <v>22</v>
      </c>
      <c r="E345" s="32"/>
      <c r="F345" s="32"/>
      <c r="G345" s="32"/>
      <c r="H345" s="32"/>
      <c r="I345" s="32"/>
      <c r="J345" s="32"/>
      <c r="K345" s="32"/>
      <c r="L345" s="8"/>
      <c r="M345" s="8"/>
      <c r="N345" s="8"/>
      <c r="O345" s="32"/>
      <c r="P345" s="32"/>
      <c r="Q345" s="32"/>
      <c r="R345" s="32"/>
      <c r="S345" s="35"/>
      <c r="T345" s="227"/>
    </row>
    <row r="346" spans="1:20" ht="17.100000000000001" customHeight="1" x14ac:dyDescent="0.25">
      <c r="A346" s="148"/>
      <c r="B346" s="148"/>
      <c r="D346" s="57">
        <v>23</v>
      </c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</row>
    <row r="347" spans="1:20" ht="17.100000000000001" customHeight="1" x14ac:dyDescent="0.25">
      <c r="A347" s="148"/>
      <c r="B347" s="148"/>
      <c r="D347" s="57">
        <v>24</v>
      </c>
      <c r="E347" s="32"/>
      <c r="F347" s="32"/>
      <c r="G347" s="32"/>
      <c r="H347" s="32"/>
      <c r="I347" s="32"/>
      <c r="J347" s="32"/>
      <c r="K347" s="8"/>
      <c r="L347" s="8"/>
      <c r="M347" s="8"/>
      <c r="N347" s="8"/>
      <c r="O347" s="8"/>
      <c r="P347" s="8"/>
      <c r="Q347" s="8"/>
      <c r="R347" s="8"/>
      <c r="S347" s="8"/>
      <c r="T347" s="8"/>
    </row>
    <row r="348" spans="1:20" ht="17.100000000000001" customHeight="1" x14ac:dyDescent="0.25">
      <c r="A348" s="148"/>
      <c r="B348" s="148"/>
      <c r="D348" s="57">
        <v>25</v>
      </c>
      <c r="E348" s="32"/>
      <c r="F348" s="32"/>
      <c r="G348" s="32"/>
      <c r="H348" s="32"/>
      <c r="I348" s="32"/>
      <c r="J348" s="32"/>
      <c r="K348" s="8"/>
      <c r="L348" s="8"/>
      <c r="M348" s="8"/>
      <c r="N348" s="8"/>
      <c r="O348" s="8"/>
      <c r="P348" s="8"/>
      <c r="Q348" s="8"/>
      <c r="R348" s="8"/>
      <c r="S348" s="8"/>
      <c r="T348" s="8"/>
    </row>
    <row r="349" spans="1:20" ht="17.100000000000001" customHeight="1" x14ac:dyDescent="0.25">
      <c r="A349" s="148"/>
      <c r="B349" s="148"/>
      <c r="D349" s="57">
        <v>26</v>
      </c>
      <c r="E349" s="32"/>
      <c r="F349" s="32"/>
      <c r="G349" s="32"/>
      <c r="H349" s="32"/>
      <c r="I349" s="32"/>
      <c r="J349" s="32"/>
      <c r="K349" s="8"/>
      <c r="L349" s="8"/>
      <c r="M349" s="8"/>
      <c r="N349" s="8"/>
      <c r="O349" s="8"/>
      <c r="P349" s="8"/>
      <c r="Q349" s="8"/>
      <c r="R349" s="8"/>
      <c r="S349" s="8"/>
      <c r="T349" s="8"/>
    </row>
    <row r="350" spans="1:20" ht="17.100000000000001" customHeight="1" x14ac:dyDescent="0.25">
      <c r="A350" s="148"/>
      <c r="B350" s="148"/>
      <c r="D350" s="57">
        <v>27</v>
      </c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</row>
    <row r="351" spans="1:20" ht="17.100000000000001" customHeight="1" x14ac:dyDescent="0.25">
      <c r="A351" s="148"/>
      <c r="B351" s="148"/>
      <c r="D351" s="57">
        <v>28</v>
      </c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</row>
    <row r="352" spans="1:20" ht="17.100000000000001" customHeight="1" x14ac:dyDescent="0.25">
      <c r="A352" s="148"/>
      <c r="B352" s="148"/>
      <c r="D352" s="57">
        <v>29</v>
      </c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</row>
    <row r="353" spans="1:20" ht="17.100000000000001" customHeight="1" x14ac:dyDescent="0.25">
      <c r="A353" s="148"/>
      <c r="B353" s="148"/>
      <c r="D353" s="57">
        <v>30</v>
      </c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</row>
    <row r="354" spans="1:20" ht="17.100000000000001" customHeight="1" x14ac:dyDescent="0.25">
      <c r="A354" s="148"/>
      <c r="B354" s="148"/>
      <c r="D354" s="57">
        <v>31</v>
      </c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</row>
    <row r="355" spans="1:20" ht="17.100000000000001" customHeight="1" x14ac:dyDescent="0.25">
      <c r="A355" s="148"/>
      <c r="B355" s="148"/>
      <c r="D355" s="57">
        <v>32</v>
      </c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</row>
    <row r="356" spans="1:20" ht="17.100000000000001" customHeight="1" x14ac:dyDescent="0.25">
      <c r="A356" s="148"/>
      <c r="B356" s="148"/>
      <c r="D356" s="57">
        <v>33</v>
      </c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</row>
    <row r="357" spans="1:20" ht="17.100000000000001" customHeight="1" x14ac:dyDescent="0.25">
      <c r="A357" s="148"/>
      <c r="B357" s="148"/>
      <c r="D357" s="57">
        <v>34</v>
      </c>
      <c r="E357" s="230"/>
      <c r="F357" s="8"/>
      <c r="G357" s="8"/>
      <c r="H357" s="8"/>
      <c r="I357" s="8"/>
      <c r="J357" s="8"/>
      <c r="K357" s="8"/>
      <c r="L357" s="8"/>
      <c r="M357" s="8"/>
      <c r="N357" s="31"/>
      <c r="O357" s="8"/>
      <c r="P357" s="8"/>
      <c r="Q357" s="8"/>
      <c r="R357" s="8"/>
      <c r="S357" s="47"/>
      <c r="T357" s="8"/>
    </row>
    <row r="358" spans="1:20" ht="17.100000000000001" customHeight="1" x14ac:dyDescent="0.25">
      <c r="A358" s="148"/>
      <c r="B358" s="148"/>
      <c r="D358" s="57">
        <v>35</v>
      </c>
      <c r="E358" s="30"/>
      <c r="F358" s="8"/>
      <c r="G358" s="48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</row>
    <row r="359" spans="1:20" ht="17.100000000000001" customHeight="1" x14ac:dyDescent="0.25">
      <c r="A359" s="148"/>
      <c r="B359" s="148"/>
      <c r="D359" s="57">
        <v>36</v>
      </c>
      <c r="E359" s="30"/>
      <c r="F359" s="8"/>
      <c r="G359" s="48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</row>
    <row r="360" spans="1:20" ht="17.100000000000001" customHeight="1" x14ac:dyDescent="0.25">
      <c r="A360" s="148"/>
      <c r="B360" s="148"/>
      <c r="D360" s="57">
        <v>37</v>
      </c>
      <c r="E360" s="30"/>
      <c r="F360" s="8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</row>
    <row r="361" spans="1:20" ht="17.100000000000001" customHeight="1" x14ac:dyDescent="0.25">
      <c r="A361" s="148"/>
      <c r="B361" s="148"/>
      <c r="D361" s="57">
        <v>38</v>
      </c>
      <c r="E361" s="30"/>
      <c r="F361" s="8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</row>
    <row r="362" spans="1:20" ht="17.100000000000001" customHeight="1" x14ac:dyDescent="0.25">
      <c r="A362" s="148"/>
      <c r="B362" s="148"/>
      <c r="D362" s="57">
        <v>39</v>
      </c>
      <c r="E362" s="30"/>
      <c r="F362" s="8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</row>
    <row r="363" spans="1:20" ht="17.100000000000001" customHeight="1" thickBot="1" x14ac:dyDescent="0.3">
      <c r="A363" s="148"/>
      <c r="B363" s="148"/>
      <c r="D363" s="58">
        <v>40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</row>
    <row r="364" spans="1:20" ht="17.100000000000001" customHeight="1" x14ac:dyDescent="0.25">
      <c r="A364" s="148"/>
      <c r="B364" s="148"/>
      <c r="D364" s="8" t="s">
        <v>1002</v>
      </c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 t="str">
        <f>+R312</f>
        <v>Recap Schedules: E-13a</v>
      </c>
      <c r="S364" s="8"/>
      <c r="T364" s="8"/>
    </row>
    <row r="373" spans="22:24" ht="17.100000000000001" customHeight="1" x14ac:dyDescent="0.25">
      <c r="V373" s="168"/>
      <c r="W373" s="168"/>
      <c r="X373" s="168"/>
    </row>
  </sheetData>
  <mergeCells count="27">
    <mergeCell ref="E319:T319"/>
    <mergeCell ref="E324:F324"/>
    <mergeCell ref="E169:F169"/>
    <mergeCell ref="E215:T215"/>
    <mergeCell ref="K216:N216"/>
    <mergeCell ref="P216:S216"/>
    <mergeCell ref="E222:F222"/>
    <mergeCell ref="E267:T267"/>
    <mergeCell ref="K164:N164"/>
    <mergeCell ref="P164:S164"/>
    <mergeCell ref="E59:T59"/>
    <mergeCell ref="K60:N60"/>
    <mergeCell ref="P60:S60"/>
    <mergeCell ref="E65:F65"/>
    <mergeCell ref="E85:F85"/>
    <mergeCell ref="E111:T111"/>
    <mergeCell ref="K112:N112"/>
    <mergeCell ref="P112:S112"/>
    <mergeCell ref="E117:F117"/>
    <mergeCell ref="E136:F136"/>
    <mergeCell ref="E163:T163"/>
    <mergeCell ref="E12:F12"/>
    <mergeCell ref="E7:T7"/>
    <mergeCell ref="K8:N8"/>
    <mergeCell ref="P8:S8"/>
    <mergeCell ref="E10:F10"/>
    <mergeCell ref="E11:F11"/>
  </mergeCells>
  <pageMargins left="0.75" right="0" top="1" bottom="0" header="0" footer="0"/>
  <pageSetup scale="55" orientation="landscape" r:id="rId1"/>
  <rowBreaks count="6" manualBreakCount="6">
    <brk id="52" max="16383" man="1"/>
    <brk id="104" max="16383" man="1"/>
    <brk id="156" max="16383" man="1"/>
    <brk id="208" min="3" max="19" man="1"/>
    <brk id="260" max="16383" man="1"/>
    <brk id="312" max="16383" man="1"/>
  </rowBreaks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01960-B43D-4B9F-868D-2B41B6F550E7}">
  <dimension ref="B2:H341"/>
  <sheetViews>
    <sheetView workbookViewId="0">
      <pane xSplit="1" ySplit="2" topLeftCell="B309" activePane="bottomRight" state="frozen"/>
      <selection pane="topRight" activeCell="B1" sqref="B1"/>
      <selection pane="bottomLeft" activeCell="A3" sqref="A3"/>
      <selection pane="bottomRight" activeCell="G4" sqref="G4:G341"/>
    </sheetView>
  </sheetViews>
  <sheetFormatPr defaultRowHeight="15" x14ac:dyDescent="0.25"/>
  <cols>
    <col min="2" max="2" width="61.140625" bestFit="1" customWidth="1"/>
    <col min="3" max="3" width="39.85546875" bestFit="1" customWidth="1"/>
    <col min="4" max="4" width="49.42578125" bestFit="1" customWidth="1"/>
    <col min="5" max="5" width="13.42578125" bestFit="1" customWidth="1"/>
    <col min="7" max="7" width="24.28515625" bestFit="1" customWidth="1"/>
    <col min="8" max="8" width="9.5703125" bestFit="1" customWidth="1"/>
  </cols>
  <sheetData>
    <row r="2" spans="2:8" x14ac:dyDescent="0.25">
      <c r="B2" s="88" t="s">
        <v>346</v>
      </c>
      <c r="C2" s="90" t="s">
        <v>489</v>
      </c>
      <c r="D2" s="90" t="s">
        <v>496</v>
      </c>
      <c r="E2" s="88" t="s">
        <v>871</v>
      </c>
      <c r="F2" s="88"/>
      <c r="G2" s="97" t="s">
        <v>909</v>
      </c>
    </row>
    <row r="3" spans="2:8" x14ac:dyDescent="0.25">
      <c r="B3" s="31" t="s">
        <v>348</v>
      </c>
      <c r="C3" s="89"/>
      <c r="D3" s="89"/>
      <c r="E3" s="89"/>
      <c r="F3" s="89"/>
      <c r="G3" s="89"/>
    </row>
    <row r="4" spans="2:8" x14ac:dyDescent="0.25">
      <c r="C4" s="36" t="s">
        <v>349</v>
      </c>
      <c r="D4" s="36" t="s">
        <v>534</v>
      </c>
      <c r="E4" s="56">
        <f>+INDEX('2027 RS Rate Class E-13c'!Q:Q,MATCH('2027 Base Rates'!D4,'2027 RS Rate Class E-13c'!B:B,0))</f>
        <v>1.1818520089543294</v>
      </c>
      <c r="F4" s="56"/>
      <c r="G4" s="56">
        <f>+ROUND(E4,2)</f>
        <v>1.18</v>
      </c>
      <c r="H4" s="109"/>
    </row>
    <row r="5" spans="2:8" x14ac:dyDescent="0.25">
      <c r="C5" s="36" t="s">
        <v>350</v>
      </c>
      <c r="D5" s="36" t="s">
        <v>535</v>
      </c>
      <c r="E5" s="56">
        <f>+INDEX('2027 RS Rate Class E-13c'!Q:Q,MATCH('2027 Base Rates'!D5,'2027 RS Rate Class E-13c'!B:B,0))</f>
        <v>1.1818520089543294</v>
      </c>
      <c r="F5" s="56"/>
      <c r="G5" s="56">
        <f>+ROUND(E5,2)</f>
        <v>1.18</v>
      </c>
      <c r="H5" s="109"/>
    </row>
    <row r="6" spans="2:8" x14ac:dyDescent="0.25">
      <c r="C6" s="36"/>
      <c r="D6" s="36"/>
      <c r="E6" s="56"/>
      <c r="F6" s="56"/>
      <c r="G6" s="56"/>
    </row>
    <row r="7" spans="2:8" x14ac:dyDescent="0.25">
      <c r="B7" s="31" t="s">
        <v>332</v>
      </c>
      <c r="C7" s="91"/>
      <c r="D7" s="91"/>
      <c r="E7" s="56"/>
      <c r="F7" s="56"/>
      <c r="G7" s="56"/>
    </row>
    <row r="8" spans="2:8" x14ac:dyDescent="0.25">
      <c r="C8" s="36" t="s">
        <v>349</v>
      </c>
      <c r="D8" s="36"/>
      <c r="E8" s="56"/>
      <c r="F8" s="56"/>
      <c r="G8" s="56"/>
    </row>
    <row r="9" spans="2:8" x14ac:dyDescent="0.25">
      <c r="C9" s="57" t="s">
        <v>351</v>
      </c>
      <c r="D9" s="57" t="s">
        <v>483</v>
      </c>
      <c r="E9" s="92">
        <f>+INDEX('2027 RS Rate Class E-13c'!Q:Q,MATCH('2027 Base Rates'!D9,'2027 RS Rate Class E-13c'!B:B,0))</f>
        <v>8.274614745120018E-2</v>
      </c>
      <c r="F9" s="56"/>
      <c r="G9" s="92">
        <f>+ROUND(E9,5)</f>
        <v>8.2750000000000004E-2</v>
      </c>
      <c r="H9" s="111"/>
    </row>
    <row r="10" spans="2:8" x14ac:dyDescent="0.25">
      <c r="C10" s="57" t="s">
        <v>352</v>
      </c>
      <c r="D10" s="57" t="s">
        <v>484</v>
      </c>
      <c r="E10" s="92">
        <f>+INDEX('2027 RS Rate Class E-13c'!Q:Q,MATCH('2027 Base Rates'!D10,'2027 RS Rate Class E-13c'!B:B,0))</f>
        <v>9.2746147451200175E-2</v>
      </c>
      <c r="F10" s="56"/>
      <c r="G10" s="92">
        <f t="shared" ref="G10:G11" si="0">+ROUND(E10,5)</f>
        <v>9.2749999999999999E-2</v>
      </c>
      <c r="H10" s="111"/>
    </row>
    <row r="11" spans="2:8" x14ac:dyDescent="0.25">
      <c r="C11" s="36" t="s">
        <v>350</v>
      </c>
      <c r="D11" s="36" t="s">
        <v>550</v>
      </c>
      <c r="E11" s="92">
        <f>+INDEX('2027 RS Rate Class E-13c'!Q:Q,MATCH('2027 Base Rates'!D11,'2027 RS Rate Class E-13c'!B:B,0))</f>
        <v>8.7250524199671539E-2</v>
      </c>
      <c r="F11" s="56"/>
      <c r="G11" s="92">
        <f t="shared" si="0"/>
        <v>8.7249999999999994E-2</v>
      </c>
      <c r="H11" s="111"/>
    </row>
    <row r="12" spans="2:8" x14ac:dyDescent="0.25">
      <c r="C12" s="36"/>
      <c r="D12" s="36"/>
      <c r="E12" s="56"/>
      <c r="F12" s="56"/>
      <c r="G12" s="56"/>
    </row>
    <row r="13" spans="2:8" x14ac:dyDescent="0.25">
      <c r="B13" s="88" t="s">
        <v>353</v>
      </c>
      <c r="C13" s="36"/>
      <c r="D13" s="36"/>
      <c r="E13" s="56"/>
      <c r="F13" s="56"/>
      <c r="G13" s="56"/>
    </row>
    <row r="14" spans="2:8" x14ac:dyDescent="0.25">
      <c r="B14" s="31" t="s">
        <v>348</v>
      </c>
      <c r="C14" s="89"/>
      <c r="D14" s="89"/>
      <c r="E14" s="56"/>
      <c r="F14" s="56"/>
      <c r="G14" s="56"/>
    </row>
    <row r="15" spans="2:8" x14ac:dyDescent="0.25">
      <c r="C15" s="36" t="s">
        <v>354</v>
      </c>
      <c r="D15" s="36" t="s">
        <v>536</v>
      </c>
      <c r="E15" s="56">
        <f>+INDEX('2027 GS Rate Class E-13c'!Q:Q,MATCH('2027 Base Rates'!D15,'2027 GS Rate Class E-13c'!B:B,0))</f>
        <v>1.3993700712260688</v>
      </c>
      <c r="F15" s="56"/>
      <c r="G15" s="56">
        <f t="shared" ref="G15:G17" si="1">+ROUND(E15,2)</f>
        <v>1.4</v>
      </c>
      <c r="H15" s="109"/>
    </row>
    <row r="16" spans="2:8" x14ac:dyDescent="0.25">
      <c r="C16" s="57" t="s">
        <v>355</v>
      </c>
      <c r="D16" s="57" t="s">
        <v>537</v>
      </c>
      <c r="E16" s="56">
        <f>+INDEX('2027 GS Rate Class E-13c'!Q:Q,MATCH('2027 Base Rates'!D16,'2027 GS Rate Class E-13c'!B:B,0))</f>
        <v>1.1679781696847504</v>
      </c>
      <c r="F16" s="56"/>
      <c r="G16" s="56">
        <f t="shared" si="1"/>
        <v>1.17</v>
      </c>
      <c r="H16" s="109"/>
    </row>
    <row r="17" spans="2:8" x14ac:dyDescent="0.25">
      <c r="C17" s="36" t="s">
        <v>356</v>
      </c>
      <c r="D17" s="36" t="s">
        <v>538</v>
      </c>
      <c r="E17" s="56">
        <f>+INDEX('2027 GS Rate Class E-13c'!Q:Q,MATCH('2027 Base Rates'!D17,'2027 GS Rate Class E-13c'!B:B,0))</f>
        <v>1.3993700712260688</v>
      </c>
      <c r="F17" s="56"/>
      <c r="G17" s="56">
        <f t="shared" si="1"/>
        <v>1.4</v>
      </c>
      <c r="H17" s="109"/>
    </row>
    <row r="18" spans="2:8" x14ac:dyDescent="0.25">
      <c r="B18" s="31" t="s">
        <v>332</v>
      </c>
      <c r="C18" s="89"/>
      <c r="D18" s="89"/>
      <c r="E18" s="56"/>
      <c r="F18" s="56"/>
      <c r="G18" s="56"/>
    </row>
    <row r="19" spans="2:8" x14ac:dyDescent="0.25">
      <c r="C19" s="36" t="s">
        <v>349</v>
      </c>
      <c r="D19" s="36" t="s">
        <v>485</v>
      </c>
      <c r="E19" s="92">
        <f>+INDEX('2027 GS Rate Class E-13c'!Q:Q,MATCH('2027 Base Rates'!D19,'2027 GS Rate Class E-13c'!B:B,0))</f>
        <v>7.4998071041309733E-2</v>
      </c>
      <c r="F19" s="56"/>
      <c r="G19" s="92">
        <f t="shared" ref="G19:G23" si="2">+ROUND(E19,5)</f>
        <v>7.4999999999999997E-2</v>
      </c>
      <c r="H19" s="111"/>
    </row>
    <row r="20" spans="2:8" x14ac:dyDescent="0.25">
      <c r="C20" s="57" t="s">
        <v>355</v>
      </c>
      <c r="D20" s="57" t="s">
        <v>486</v>
      </c>
      <c r="E20" s="92">
        <f>+INDEX('2027 GS Rate Class E-13c'!Q:Q,MATCH('2027 Base Rates'!D20,'2027 GS Rate Class E-13c'!B:B,0))</f>
        <v>7.4998071041309733E-2</v>
      </c>
      <c r="F20" s="56"/>
      <c r="G20" s="92">
        <f t="shared" si="2"/>
        <v>7.4999999999999997E-2</v>
      </c>
      <c r="H20" s="111"/>
    </row>
    <row r="21" spans="2:8" x14ac:dyDescent="0.25">
      <c r="C21" s="36" t="s">
        <v>357</v>
      </c>
      <c r="D21" s="36" t="s">
        <v>487</v>
      </c>
      <c r="E21" s="92">
        <f>+INDEX('2027 GS Rate Class E-13c'!Q:Q,MATCH('2027 Base Rates'!D21,'2027 GS Rate Class E-13c'!B:B,0))</f>
        <v>0.10921558322970684</v>
      </c>
      <c r="F21" s="56"/>
      <c r="G21" s="92">
        <f t="shared" si="2"/>
        <v>0.10922</v>
      </c>
      <c r="H21" s="111"/>
    </row>
    <row r="22" spans="2:8" x14ac:dyDescent="0.25">
      <c r="C22" s="36" t="s">
        <v>358</v>
      </c>
      <c r="D22" s="36" t="s">
        <v>488</v>
      </c>
      <c r="E22" s="92">
        <f>+INDEX('2027 GS Rate Class E-13c'!Q:Q,MATCH('2027 Base Rates'!D22,'2027 GS Rate Class E-13c'!B:B,0))</f>
        <v>5.9212895172825741E-2</v>
      </c>
      <c r="F22" s="56"/>
      <c r="G22" s="92">
        <f t="shared" si="2"/>
        <v>5.9209999999999999E-2</v>
      </c>
      <c r="H22" s="111"/>
    </row>
    <row r="23" spans="2:8" x14ac:dyDescent="0.25">
      <c r="C23" s="36" t="s">
        <v>1232</v>
      </c>
      <c r="D23" s="36" t="s">
        <v>1233</v>
      </c>
      <c r="E23" s="92">
        <f>+INDEX('2027 GS Rate Class E-13c'!Q:Q,MATCH('2027 Base Rates'!D23,'2027 GS Rate Class E-13c'!B:B,0))</f>
        <v>5.4904598339365958E-2</v>
      </c>
      <c r="F23" s="56"/>
      <c r="G23" s="92">
        <f t="shared" si="2"/>
        <v>5.4899999999999997E-2</v>
      </c>
      <c r="H23" s="111"/>
    </row>
    <row r="24" spans="2:8" x14ac:dyDescent="0.25">
      <c r="B24" s="31" t="s">
        <v>345</v>
      </c>
      <c r="C24" s="89"/>
      <c r="D24" s="89"/>
      <c r="E24" s="56"/>
      <c r="F24" s="56"/>
      <c r="G24" s="56"/>
    </row>
    <row r="25" spans="2:8" x14ac:dyDescent="0.25">
      <c r="B25" s="31"/>
      <c r="C25" s="36" t="s">
        <v>349</v>
      </c>
      <c r="D25" s="36" t="s">
        <v>490</v>
      </c>
      <c r="E25" s="92">
        <f>+INDEX('2027 GS Rate Class E-13c'!Q:Q,MATCH('2027 Base Rates'!D25,'2027 GS Rate Class E-13c'!B:B,0))</f>
        <v>2.8317961283866114E-3</v>
      </c>
      <c r="F25" s="56"/>
      <c r="G25" s="92">
        <f t="shared" ref="G25:G26" si="3">+ROUND(E25,5)</f>
        <v>2.8300000000000001E-3</v>
      </c>
      <c r="H25" s="111"/>
    </row>
    <row r="26" spans="2:8" x14ac:dyDescent="0.25">
      <c r="C26" s="36" t="s">
        <v>356</v>
      </c>
      <c r="D26" s="36" t="s">
        <v>491</v>
      </c>
      <c r="E26" s="92">
        <f>+INDEX('2027 GS Rate Class E-13c'!Q:Q,MATCH('2027 Base Rates'!D26,'2027 GS Rate Class E-13c'!B:B,0))</f>
        <v>2.8317961283866114E-3</v>
      </c>
      <c r="F26" s="56"/>
      <c r="G26" s="92">
        <f t="shared" si="3"/>
        <v>2.8300000000000001E-3</v>
      </c>
      <c r="H26" s="111"/>
    </row>
    <row r="27" spans="2:8" x14ac:dyDescent="0.25">
      <c r="B27" s="88" t="s">
        <v>359</v>
      </c>
      <c r="C27" s="89"/>
      <c r="D27" s="89"/>
      <c r="E27" s="56"/>
      <c r="F27" s="56"/>
      <c r="G27" s="56"/>
    </row>
    <row r="28" spans="2:8" x14ac:dyDescent="0.25">
      <c r="B28" s="31" t="s">
        <v>348</v>
      </c>
      <c r="C28" s="89"/>
      <c r="D28" s="89"/>
      <c r="E28" s="56"/>
      <c r="F28" s="56"/>
      <c r="G28" s="56"/>
    </row>
    <row r="29" spans="2:8" x14ac:dyDescent="0.25">
      <c r="C29" s="57" t="s">
        <v>360</v>
      </c>
      <c r="D29" s="57" t="s">
        <v>539</v>
      </c>
      <c r="E29" s="56">
        <f>+INDEX('2027 GS Rate Class E-13c'!Q:Q,MATCH('2027 Base Rates'!D29,'2027 GS Rate Class E-13c'!B:B,0))</f>
        <v>1.3993700712260688</v>
      </c>
      <c r="F29" s="56"/>
      <c r="G29" s="56">
        <f>+ROUND(E29,2)</f>
        <v>1.4</v>
      </c>
      <c r="H29" s="109"/>
    </row>
    <row r="30" spans="2:8" x14ac:dyDescent="0.25">
      <c r="B30" s="31" t="s">
        <v>332</v>
      </c>
      <c r="C30" s="89"/>
      <c r="D30" s="89"/>
      <c r="E30" s="56"/>
      <c r="F30" s="56"/>
      <c r="G30" s="56"/>
    </row>
    <row r="31" spans="2:8" x14ac:dyDescent="0.25">
      <c r="C31" s="36" t="s">
        <v>361</v>
      </c>
      <c r="D31" s="36" t="s">
        <v>492</v>
      </c>
      <c r="E31" s="92">
        <f>+INDEX('2027 GS Rate Class E-13c'!Q:Q,MATCH('2027 Base Rates'!D31,'2027 GS Rate Class E-13c'!B:B,0))</f>
        <v>7.4998071041309733E-2</v>
      </c>
      <c r="F31" s="56"/>
      <c r="G31" s="92">
        <f>+ROUND(E31,5)</f>
        <v>7.4999999999999997E-2</v>
      </c>
      <c r="H31" s="111"/>
    </row>
    <row r="32" spans="2:8" x14ac:dyDescent="0.25">
      <c r="B32" s="88" t="s">
        <v>362</v>
      </c>
      <c r="C32" s="89"/>
      <c r="D32" s="89"/>
      <c r="E32" s="56"/>
      <c r="F32" s="56"/>
      <c r="G32" s="56"/>
    </row>
    <row r="33" spans="2:8" x14ac:dyDescent="0.25">
      <c r="B33" s="31" t="s">
        <v>348</v>
      </c>
      <c r="C33" s="89"/>
      <c r="D33" s="89"/>
      <c r="E33" s="56"/>
      <c r="F33" s="56"/>
      <c r="G33" s="56"/>
    </row>
    <row r="34" spans="2:8" x14ac:dyDescent="0.25">
      <c r="C34" s="36" t="s">
        <v>363</v>
      </c>
      <c r="D34" s="36" t="s">
        <v>540</v>
      </c>
      <c r="E34" s="56">
        <f>+INDEX('2027 GSD Rate Class E-13c'!R:R,MATCH('2027 Base Rates'!D34,'2027 GSD Rate Class E-13c'!C:C,0))</f>
        <v>1.8955389787430039</v>
      </c>
      <c r="F34" s="56"/>
      <c r="G34" s="56">
        <f t="shared" ref="G34:G42" si="4">+ROUND(E34,2)</f>
        <v>1.9</v>
      </c>
      <c r="H34" s="109"/>
    </row>
    <row r="35" spans="2:8" x14ac:dyDescent="0.25">
      <c r="C35" s="36" t="s">
        <v>364</v>
      </c>
      <c r="D35" s="36" t="s">
        <v>541</v>
      </c>
      <c r="E35" s="56">
        <f>+INDEX('2027 GSD Rate Class E-13c'!R:R,MATCH('2027 Base Rates'!D35,'2027 GSD Rate Class E-13c'!C:C,0))</f>
        <v>10.315258628508438</v>
      </c>
      <c r="F35" s="56"/>
      <c r="G35" s="56">
        <f t="shared" si="4"/>
        <v>10.32</v>
      </c>
      <c r="H35" s="109"/>
    </row>
    <row r="36" spans="2:8" x14ac:dyDescent="0.25">
      <c r="C36" s="36" t="s">
        <v>365</v>
      </c>
      <c r="D36" s="36" t="s">
        <v>542</v>
      </c>
      <c r="E36" s="56">
        <f>+INDEX('2027 GSD Rate Class E-13c'!R:R,MATCH('2027 Base Rates'!D36,'2027 GSD Rate Class E-13c'!C:C,0))</f>
        <v>28.38900237931383</v>
      </c>
      <c r="F36" s="56"/>
      <c r="G36" s="56">
        <f t="shared" si="4"/>
        <v>28.39</v>
      </c>
      <c r="H36" s="109"/>
    </row>
    <row r="37" spans="2:8" x14ac:dyDescent="0.25">
      <c r="B37" s="93" t="s">
        <v>366</v>
      </c>
      <c r="C37" s="94" t="s">
        <v>367</v>
      </c>
      <c r="D37" s="36" t="s">
        <v>543</v>
      </c>
      <c r="E37" s="56">
        <f>+INDEX('2027 GSD Rate Class E-13c'!R:R,MATCH('2027 Base Rates'!D37,'2027 GSD Rate Class E-13c'!C:C,0))</f>
        <v>1.8955389787430039</v>
      </c>
      <c r="F37" s="56"/>
      <c r="G37" s="56">
        <f t="shared" si="4"/>
        <v>1.9</v>
      </c>
      <c r="H37" s="109"/>
    </row>
    <row r="38" spans="2:8" x14ac:dyDescent="0.25">
      <c r="B38" s="93" t="s">
        <v>366</v>
      </c>
      <c r="C38" s="94" t="s">
        <v>368</v>
      </c>
      <c r="D38" s="36" t="s">
        <v>544</v>
      </c>
      <c r="E38" s="56">
        <f>+INDEX('2027 GSD Rate Class E-13c'!R:R,MATCH('2027 Base Rates'!D38,'2027 GSD Rate Class E-13c'!C:C,0))</f>
        <v>10.315258628508438</v>
      </c>
      <c r="F38" s="56"/>
      <c r="G38" s="56">
        <f t="shared" si="4"/>
        <v>10.32</v>
      </c>
      <c r="H38" s="109"/>
    </row>
    <row r="39" spans="2:8" x14ac:dyDescent="0.25">
      <c r="B39" s="93" t="s">
        <v>366</v>
      </c>
      <c r="C39" s="94" t="s">
        <v>369</v>
      </c>
      <c r="D39" s="36" t="s">
        <v>545</v>
      </c>
      <c r="E39" s="56">
        <f>+INDEX('2027 GSD Rate Class E-13c'!R:R,MATCH('2027 Base Rates'!D39,'2027 GSD Rate Class E-13c'!C:C,0))</f>
        <v>28.38900237931383</v>
      </c>
      <c r="F39" s="56"/>
      <c r="G39" s="56">
        <f t="shared" si="4"/>
        <v>28.39</v>
      </c>
      <c r="H39" s="109"/>
    </row>
    <row r="40" spans="2:8" x14ac:dyDescent="0.25">
      <c r="C40" s="57" t="s">
        <v>370</v>
      </c>
      <c r="D40" s="36" t="s">
        <v>546</v>
      </c>
      <c r="E40" s="56">
        <f>+INDEX('2027 GSD Rate Class E-13c'!R:R,MATCH('2027 Base Rates'!D40,'2027 GSD Rate Class E-13c'!C:C,0))</f>
        <v>1.8955389787430039</v>
      </c>
      <c r="F40" s="56"/>
      <c r="G40" s="56">
        <f t="shared" si="4"/>
        <v>1.9</v>
      </c>
      <c r="H40" s="109"/>
    </row>
    <row r="41" spans="2:8" x14ac:dyDescent="0.25">
      <c r="C41" s="57" t="s">
        <v>371</v>
      </c>
      <c r="D41" s="36" t="s">
        <v>547</v>
      </c>
      <c r="E41" s="56">
        <f>+INDEX('2027 GSD Rate Class E-13c'!R:R,MATCH('2027 Base Rates'!D41,'2027 GSD Rate Class E-13c'!C:C,0))</f>
        <v>10.315258628508438</v>
      </c>
      <c r="F41" s="56"/>
      <c r="G41" s="56">
        <f t="shared" si="4"/>
        <v>10.32</v>
      </c>
      <c r="H41" s="109"/>
    </row>
    <row r="42" spans="2:8" x14ac:dyDescent="0.25">
      <c r="C42" s="57" t="s">
        <v>372</v>
      </c>
      <c r="D42" s="36" t="s">
        <v>548</v>
      </c>
      <c r="E42" s="56">
        <f>+INDEX('2027 GSD Rate Class E-13c'!R:R,MATCH('2027 Base Rates'!D42,'2027 GSD Rate Class E-13c'!C:C,0))</f>
        <v>28.38900237931383</v>
      </c>
      <c r="F42" s="56"/>
      <c r="G42" s="56">
        <f t="shared" si="4"/>
        <v>28.39</v>
      </c>
      <c r="H42" s="109"/>
    </row>
    <row r="43" spans="2:8" x14ac:dyDescent="0.25">
      <c r="C43" s="57"/>
      <c r="D43" s="57"/>
      <c r="E43" s="56"/>
      <c r="F43" s="56"/>
      <c r="G43" s="56"/>
    </row>
    <row r="44" spans="2:8" x14ac:dyDescent="0.25">
      <c r="C44" s="57"/>
      <c r="D44" s="57"/>
      <c r="E44" s="56"/>
      <c r="F44" s="56"/>
      <c r="G44" s="56"/>
    </row>
    <row r="45" spans="2:8" x14ac:dyDescent="0.25">
      <c r="C45" s="57"/>
      <c r="D45" s="57"/>
      <c r="E45" s="56"/>
      <c r="F45" s="56"/>
      <c r="G45" s="56"/>
    </row>
    <row r="46" spans="2:8" x14ac:dyDescent="0.25">
      <c r="B46" s="37" t="s">
        <v>332</v>
      </c>
      <c r="C46" s="89"/>
      <c r="D46" s="89"/>
      <c r="E46" s="56"/>
      <c r="F46" s="56"/>
      <c r="G46" s="56"/>
    </row>
    <row r="47" spans="2:8" x14ac:dyDescent="0.25">
      <c r="C47" s="36" t="s">
        <v>363</v>
      </c>
      <c r="D47" s="36" t="s">
        <v>493</v>
      </c>
      <c r="E47" s="92">
        <f>+INDEX('2027 GSD Rate Class E-13c'!R:R,MATCH('2027 Base Rates'!D47,'2027 GSD Rate Class E-13c'!C:C,0))</f>
        <v>8.5167007137941491E-3</v>
      </c>
      <c r="F47" s="56"/>
      <c r="G47" s="92">
        <f t="shared" ref="G47:G58" si="5">+ROUND(E47,5)</f>
        <v>8.5199999999999998E-3</v>
      </c>
      <c r="H47" s="111"/>
    </row>
    <row r="48" spans="2:8" x14ac:dyDescent="0.25">
      <c r="C48" s="36" t="s">
        <v>364</v>
      </c>
      <c r="D48" s="36" t="s">
        <v>494</v>
      </c>
      <c r="E48" s="92">
        <f>+INDEX('2027 GSD Rate Class E-13c'!R:R,MATCH('2027 Base Rates'!D48,'2027 GSD Rate Class E-13c'!C:C,0))</f>
        <v>8.5167007137941491E-3</v>
      </c>
      <c r="F48" s="56"/>
      <c r="G48" s="92">
        <f t="shared" si="5"/>
        <v>8.5199999999999998E-3</v>
      </c>
      <c r="H48" s="111"/>
    </row>
    <row r="49" spans="2:8" x14ac:dyDescent="0.25">
      <c r="C49" s="36" t="s">
        <v>365</v>
      </c>
      <c r="D49" s="36" t="s">
        <v>495</v>
      </c>
      <c r="E49" s="92">
        <f>+INDEX('2027 GSD Rate Class E-13c'!R:R,MATCH('2027 Base Rates'!D49,'2027 GSD Rate Class E-13c'!C:C,0))</f>
        <v>8.5167007137941491E-3</v>
      </c>
      <c r="F49" s="56"/>
      <c r="G49" s="92">
        <f t="shared" si="5"/>
        <v>8.5199999999999998E-3</v>
      </c>
      <c r="H49" s="111"/>
    </row>
    <row r="50" spans="2:8" x14ac:dyDescent="0.25">
      <c r="C50" s="94" t="s">
        <v>367</v>
      </c>
      <c r="D50" s="36" t="s">
        <v>498</v>
      </c>
      <c r="E50" s="92">
        <f>+INDEX('2027 GSD Rate Class E-13c'!R:R,MATCH('2027 Base Rates'!D50,'2027 GSD Rate Class E-13c'!C:C,0))</f>
        <v>9.26024467628207E-2</v>
      </c>
      <c r="F50" s="56"/>
      <c r="G50" s="92">
        <f t="shared" si="5"/>
        <v>9.2600000000000002E-2</v>
      </c>
      <c r="H50" s="111"/>
    </row>
    <row r="51" spans="2:8" x14ac:dyDescent="0.25">
      <c r="C51" s="94" t="s">
        <v>368</v>
      </c>
      <c r="D51" s="36" t="s">
        <v>499</v>
      </c>
      <c r="E51" s="92">
        <f>+INDEX('2027 GSD Rate Class E-13c'!R:R,MATCH('2027 Base Rates'!D51,'2027 GSD Rate Class E-13c'!C:C,0))</f>
        <v>9.26024467628207E-2</v>
      </c>
      <c r="F51" s="56"/>
      <c r="G51" s="92">
        <f t="shared" si="5"/>
        <v>9.2600000000000002E-2</v>
      </c>
      <c r="H51" s="111"/>
    </row>
    <row r="52" spans="2:8" x14ac:dyDescent="0.25">
      <c r="C52" s="94" t="s">
        <v>369</v>
      </c>
      <c r="D52" s="36" t="s">
        <v>500</v>
      </c>
      <c r="E52" s="92">
        <f>+INDEX('2027 GSD Rate Class E-13c'!R:R,MATCH('2027 Base Rates'!D52,'2027 GSD Rate Class E-13c'!C:C,0))</f>
        <v>9.26024467628207E-2</v>
      </c>
      <c r="F52" s="56"/>
      <c r="G52" s="92">
        <f t="shared" si="5"/>
        <v>9.2600000000000002E-2</v>
      </c>
      <c r="H52" s="111"/>
    </row>
    <row r="53" spans="2:8" x14ac:dyDescent="0.25">
      <c r="C53" s="57" t="s">
        <v>373</v>
      </c>
      <c r="D53" s="57" t="s">
        <v>501</v>
      </c>
      <c r="E53" s="92">
        <f>+INDEX('2027 GSD Rate Class E-13c'!R:R,MATCH('2027 Base Rates'!D53,'2027 GSD Rate Class E-13c'!C:C,0))</f>
        <v>1.3700779409147108E-2</v>
      </c>
      <c r="F53" s="56"/>
      <c r="G53" s="92">
        <f t="shared" si="5"/>
        <v>1.37E-2</v>
      </c>
      <c r="H53" s="111"/>
    </row>
    <row r="54" spans="2:8" x14ac:dyDescent="0.25">
      <c r="C54" s="57" t="s">
        <v>374</v>
      </c>
      <c r="D54" s="57" t="s">
        <v>502</v>
      </c>
      <c r="E54" s="92">
        <f>+INDEX('2027 GSD Rate Class E-13c'!R:R,MATCH('2027 Base Rates'!D54,'2027 GSD Rate Class E-13c'!C:C,0))</f>
        <v>1.3700779409147108E-2</v>
      </c>
      <c r="F54" s="56"/>
      <c r="G54" s="92">
        <f t="shared" si="5"/>
        <v>1.37E-2</v>
      </c>
      <c r="H54" s="111"/>
    </row>
    <row r="55" spans="2:8" x14ac:dyDescent="0.25">
      <c r="C55" s="57" t="s">
        <v>375</v>
      </c>
      <c r="D55" s="57" t="s">
        <v>504</v>
      </c>
      <c r="E55" s="92">
        <f>+INDEX('2027 GSD Rate Class E-13c'!R:R,MATCH('2027 Base Rates'!D55,'2027 GSD Rate Class E-13c'!C:C,0))</f>
        <v>1.3700779409147108E-2</v>
      </c>
      <c r="F55" s="56"/>
      <c r="G55" s="92">
        <f t="shared" si="5"/>
        <v>1.37E-2</v>
      </c>
      <c r="H55" s="111"/>
    </row>
    <row r="56" spans="2:8" x14ac:dyDescent="0.25">
      <c r="C56" s="57" t="s">
        <v>376</v>
      </c>
      <c r="D56" s="57" t="s">
        <v>503</v>
      </c>
      <c r="E56" s="92">
        <f>+INDEX('2027 GSD Rate Class E-13c'!R:R,MATCH('2027 Base Rates'!D56,'2027 GSD Rate Class E-13c'!C:C,0))</f>
        <v>9.0060142641208308E-3</v>
      </c>
      <c r="F56" s="56"/>
      <c r="G56" s="92">
        <f t="shared" si="5"/>
        <v>9.0100000000000006E-3</v>
      </c>
      <c r="H56" s="111"/>
    </row>
    <row r="57" spans="2:8" x14ac:dyDescent="0.25">
      <c r="C57" s="57" t="s">
        <v>377</v>
      </c>
      <c r="D57" s="57" t="s">
        <v>505</v>
      </c>
      <c r="E57" s="92">
        <f>+INDEX('2027 GSD Rate Class E-13c'!R:R,MATCH('2027 Base Rates'!D57,'2027 GSD Rate Class E-13c'!C:C,0))</f>
        <v>9.0060142641208308E-3</v>
      </c>
      <c r="F57" s="56"/>
      <c r="G57" s="92">
        <f t="shared" si="5"/>
        <v>9.0100000000000006E-3</v>
      </c>
      <c r="H57" s="111"/>
    </row>
    <row r="58" spans="2:8" x14ac:dyDescent="0.25">
      <c r="C58" s="57" t="s">
        <v>378</v>
      </c>
      <c r="D58" s="57" t="s">
        <v>506</v>
      </c>
      <c r="E58" s="92">
        <f>+INDEX('2027 GSD Rate Class E-13c'!R:R,MATCH('2027 Base Rates'!D58,'2027 GSD Rate Class E-13c'!C:C,0))</f>
        <v>9.0060142641208308E-3</v>
      </c>
      <c r="F58" s="56"/>
      <c r="G58" s="92">
        <f t="shared" si="5"/>
        <v>9.0100000000000006E-3</v>
      </c>
      <c r="H58" s="111"/>
    </row>
    <row r="59" spans="2:8" x14ac:dyDescent="0.25">
      <c r="C59" s="57" t="s">
        <v>1249</v>
      </c>
      <c r="D59" s="57" t="s">
        <v>1234</v>
      </c>
      <c r="E59" s="92">
        <f>+INDEX('2027 GSD Rate Class E-13c'!R:R,MATCH('2027 Base Rates'!D59,'2027 GSD Rate Class E-13c'!C:C,0))</f>
        <v>5.0826894011411251E-3</v>
      </c>
      <c r="F59" s="56"/>
      <c r="G59" s="92">
        <f t="shared" ref="G59:G61" si="6">+ROUND(E59,5)</f>
        <v>5.0800000000000003E-3</v>
      </c>
      <c r="H59" s="111"/>
    </row>
    <row r="60" spans="2:8" x14ac:dyDescent="0.25">
      <c r="C60" s="57" t="s">
        <v>1250</v>
      </c>
      <c r="D60" s="57" t="s">
        <v>1235</v>
      </c>
      <c r="E60" s="92">
        <f>+INDEX('2027 GSD Rate Class E-13c'!R:R,MATCH('2027 Base Rates'!D60,'2027 GSD Rate Class E-13c'!C:C,0))</f>
        <v>5.0826894011411251E-3</v>
      </c>
      <c r="F60" s="56"/>
      <c r="G60" s="92">
        <f t="shared" si="6"/>
        <v>5.0800000000000003E-3</v>
      </c>
      <c r="H60" s="111"/>
    </row>
    <row r="61" spans="2:8" x14ac:dyDescent="0.25">
      <c r="C61" s="57" t="s">
        <v>1251</v>
      </c>
      <c r="D61" s="57" t="s">
        <v>1236</v>
      </c>
      <c r="E61" s="92">
        <f>+INDEX('2027 GSD Rate Class E-13c'!R:R,MATCH('2027 Base Rates'!D61,'2027 GSD Rate Class E-13c'!C:C,0))</f>
        <v>5.0826894011411251E-3</v>
      </c>
      <c r="F61" s="56"/>
      <c r="G61" s="92">
        <f t="shared" si="6"/>
        <v>5.0800000000000003E-3</v>
      </c>
      <c r="H61" s="111"/>
    </row>
    <row r="62" spans="2:8" x14ac:dyDescent="0.25">
      <c r="B62" s="95" t="s">
        <v>379</v>
      </c>
      <c r="C62" s="89"/>
      <c r="D62" s="89"/>
      <c r="E62" s="56"/>
      <c r="F62" s="56"/>
      <c r="G62" s="56"/>
    </row>
    <row r="63" spans="2:8" x14ac:dyDescent="0.25">
      <c r="C63" s="36" t="s">
        <v>363</v>
      </c>
      <c r="D63" s="36" t="s">
        <v>512</v>
      </c>
      <c r="E63" s="56">
        <f>+INDEX('2027 GSD Rate Class E-13c'!R:R,MATCH('2027 Base Rates'!D63,'2027 GSD Rate Class E-13c'!C:C,0))</f>
        <v>21.622048984035398</v>
      </c>
      <c r="F63" s="56"/>
      <c r="G63" s="56">
        <f t="shared" ref="G63:G74" si="7">+ROUND(E63,2)</f>
        <v>21.62</v>
      </c>
      <c r="H63" s="109"/>
    </row>
    <row r="64" spans="2:8" x14ac:dyDescent="0.25">
      <c r="C64" s="36" t="s">
        <v>364</v>
      </c>
      <c r="D64" s="36" t="s">
        <v>507</v>
      </c>
      <c r="E64" s="56">
        <f>+INDEX('2027 GSD Rate Class E-13c'!R:R,MATCH('2027 Base Rates'!D64,'2027 GSD Rate Class E-13c'!C:C,0))</f>
        <v>21.622048984035398</v>
      </c>
      <c r="F64" s="56"/>
      <c r="G64" s="56">
        <f t="shared" si="7"/>
        <v>21.62</v>
      </c>
      <c r="H64" s="109"/>
    </row>
    <row r="65" spans="2:8" x14ac:dyDescent="0.25">
      <c r="C65" s="36" t="s">
        <v>365</v>
      </c>
      <c r="D65" s="36" t="s">
        <v>508</v>
      </c>
      <c r="E65" s="56">
        <f>+INDEX('2027 GSD Rate Class E-13c'!R:R,MATCH('2027 Base Rates'!D65,'2027 GSD Rate Class E-13c'!C:C,0))</f>
        <v>21.622048984035398</v>
      </c>
      <c r="F65" s="56"/>
      <c r="G65" s="56">
        <f t="shared" si="7"/>
        <v>21.62</v>
      </c>
      <c r="H65" s="109"/>
    </row>
    <row r="66" spans="2:8" x14ac:dyDescent="0.25">
      <c r="C66" s="94" t="s">
        <v>367</v>
      </c>
      <c r="D66" s="36" t="s">
        <v>509</v>
      </c>
      <c r="E66" s="56">
        <f>+INDEX('2027 GSD Rate Class E-13c'!R:R,MATCH('2027 Base Rates'!D66,'2027 GSD Rate Class E-13c'!C:C,0))</f>
        <v>0</v>
      </c>
      <c r="F66" s="56"/>
      <c r="G66" s="56">
        <f t="shared" si="7"/>
        <v>0</v>
      </c>
      <c r="H66" s="109"/>
    </row>
    <row r="67" spans="2:8" x14ac:dyDescent="0.25">
      <c r="C67" s="94" t="s">
        <v>368</v>
      </c>
      <c r="D67" s="36" t="s">
        <v>510</v>
      </c>
      <c r="E67" s="56">
        <f>+INDEX('2027 GSD Rate Class E-13c'!R:R,MATCH('2027 Base Rates'!D67,'2027 GSD Rate Class E-13c'!C:C,0))</f>
        <v>0</v>
      </c>
      <c r="F67" s="56"/>
      <c r="G67" s="56">
        <f t="shared" si="7"/>
        <v>0</v>
      </c>
      <c r="H67" s="109"/>
    </row>
    <row r="68" spans="2:8" x14ac:dyDescent="0.25">
      <c r="C68" s="94" t="s">
        <v>369</v>
      </c>
      <c r="D68" s="36" t="s">
        <v>511</v>
      </c>
      <c r="E68" s="56">
        <f>+INDEX('2027 GSD Rate Class E-13c'!R:R,MATCH('2027 Base Rates'!D68,'2027 GSD Rate Class E-13c'!C:C,0))</f>
        <v>0</v>
      </c>
      <c r="F68" s="56"/>
      <c r="G68" s="56">
        <f t="shared" si="7"/>
        <v>0</v>
      </c>
      <c r="H68" s="109"/>
    </row>
    <row r="69" spans="2:8" x14ac:dyDescent="0.25">
      <c r="C69" s="36" t="s">
        <v>380</v>
      </c>
      <c r="D69" s="57" t="s">
        <v>821</v>
      </c>
      <c r="E69" s="56">
        <f>+INDEX('2027 GSD Rate Class E-13c'!R:R,MATCH('2027 Base Rates'!D69,'2027 GSD Rate Class E-13c'!C:C,0))</f>
        <v>5.554243565472877</v>
      </c>
      <c r="F69" s="56"/>
      <c r="G69" s="56">
        <f t="shared" si="7"/>
        <v>5.55</v>
      </c>
      <c r="H69" s="109"/>
    </row>
    <row r="70" spans="2:8" x14ac:dyDescent="0.25">
      <c r="C70" s="36" t="s">
        <v>381</v>
      </c>
      <c r="D70" s="57" t="s">
        <v>822</v>
      </c>
      <c r="E70" s="56">
        <f>+INDEX('2027 GSD Rate Class E-13c'!R:R,MATCH('2027 Base Rates'!D70,'2027 GSD Rate Class E-13c'!C:C,0))</f>
        <v>5.554243565472877</v>
      </c>
      <c r="F70" s="56"/>
      <c r="G70" s="56">
        <f t="shared" si="7"/>
        <v>5.55</v>
      </c>
      <c r="H70" s="109"/>
    </row>
    <row r="71" spans="2:8" x14ac:dyDescent="0.25">
      <c r="C71" s="57" t="s">
        <v>382</v>
      </c>
      <c r="D71" s="57" t="s">
        <v>823</v>
      </c>
      <c r="E71" s="56">
        <f>+INDEX('2027 GSD Rate Class E-13c'!R:R,MATCH('2027 Base Rates'!D71,'2027 GSD Rate Class E-13c'!C:C,0))</f>
        <v>5.554243565472877</v>
      </c>
      <c r="F71" s="56"/>
      <c r="G71" s="56">
        <f t="shared" si="7"/>
        <v>5.55</v>
      </c>
      <c r="H71" s="109"/>
    </row>
    <row r="72" spans="2:8" x14ac:dyDescent="0.25">
      <c r="C72" s="36" t="s">
        <v>383</v>
      </c>
      <c r="D72" s="57" t="s">
        <v>824</v>
      </c>
      <c r="E72" s="56">
        <f>+INDEX('2027 GSD Rate Class E-13c'!R:R,MATCH('2027 Base Rates'!D72,'2027 GSD Rate Class E-13c'!C:C,0))</f>
        <v>16.067805418562521</v>
      </c>
      <c r="F72" s="56"/>
      <c r="G72" s="56">
        <f t="shared" si="7"/>
        <v>16.07</v>
      </c>
      <c r="H72" s="109"/>
    </row>
    <row r="73" spans="2:8" x14ac:dyDescent="0.25">
      <c r="C73" s="36" t="s">
        <v>384</v>
      </c>
      <c r="D73" s="57" t="s">
        <v>825</v>
      </c>
      <c r="E73" s="56">
        <f>+INDEX('2027 GSD Rate Class E-13c'!R:R,MATCH('2027 Base Rates'!D73,'2027 GSD Rate Class E-13c'!C:C,0))</f>
        <v>16.067805418562521</v>
      </c>
      <c r="F73" s="56"/>
      <c r="G73" s="56">
        <f t="shared" si="7"/>
        <v>16.07</v>
      </c>
      <c r="H73" s="109"/>
    </row>
    <row r="74" spans="2:8" x14ac:dyDescent="0.25">
      <c r="C74" s="57" t="s">
        <v>385</v>
      </c>
      <c r="D74" s="57" t="s">
        <v>826</v>
      </c>
      <c r="E74" s="56">
        <f>+INDEX('2027 GSD Rate Class E-13c'!R:R,MATCH('2027 Base Rates'!D74,'2027 GSD Rate Class E-13c'!C:C,0))</f>
        <v>16.067805418562521</v>
      </c>
      <c r="F74" s="56"/>
      <c r="G74" s="56">
        <f t="shared" si="7"/>
        <v>16.07</v>
      </c>
      <c r="H74" s="109"/>
    </row>
    <row r="75" spans="2:8" x14ac:dyDescent="0.25">
      <c r="B75" s="37" t="s">
        <v>386</v>
      </c>
      <c r="C75" s="89"/>
      <c r="D75" s="89"/>
      <c r="E75" s="56"/>
      <c r="F75" s="56"/>
      <c r="G75" s="56"/>
    </row>
    <row r="76" spans="2:8" x14ac:dyDescent="0.25">
      <c r="C76" s="36" t="s">
        <v>387</v>
      </c>
      <c r="D76" s="36" t="s">
        <v>513</v>
      </c>
      <c r="E76" s="54">
        <v>-0.01</v>
      </c>
      <c r="F76" s="54"/>
      <c r="G76" s="54">
        <f>+E76</f>
        <v>-0.01</v>
      </c>
      <c r="H76" s="110"/>
    </row>
    <row r="77" spans="2:8" x14ac:dyDescent="0.25">
      <c r="C77" s="36" t="s">
        <v>365</v>
      </c>
      <c r="D77" s="36" t="s">
        <v>514</v>
      </c>
      <c r="E77" s="54">
        <v>-0.02</v>
      </c>
      <c r="F77" s="54"/>
      <c r="G77" s="54">
        <f t="shared" ref="G77:G81" si="8">+E77</f>
        <v>-0.02</v>
      </c>
      <c r="H77" s="110"/>
    </row>
    <row r="78" spans="2:8" x14ac:dyDescent="0.25">
      <c r="C78" s="55" t="s">
        <v>388</v>
      </c>
      <c r="D78" s="36" t="s">
        <v>515</v>
      </c>
      <c r="E78" s="54">
        <v>-0.01</v>
      </c>
      <c r="F78" s="54"/>
      <c r="G78" s="54">
        <f t="shared" si="8"/>
        <v>-0.01</v>
      </c>
      <c r="H78" s="110"/>
    </row>
    <row r="79" spans="2:8" x14ac:dyDescent="0.25">
      <c r="C79" s="94" t="s">
        <v>369</v>
      </c>
      <c r="D79" s="36" t="s">
        <v>516</v>
      </c>
      <c r="E79" s="54">
        <v>-0.02</v>
      </c>
      <c r="F79" s="54"/>
      <c r="G79" s="54">
        <f t="shared" si="8"/>
        <v>-0.02</v>
      </c>
      <c r="H79" s="110"/>
    </row>
    <row r="80" spans="2:8" x14ac:dyDescent="0.25">
      <c r="C80" s="36" t="s">
        <v>389</v>
      </c>
      <c r="D80" s="36" t="s">
        <v>517</v>
      </c>
      <c r="E80" s="54">
        <v>-0.01</v>
      </c>
      <c r="F80" s="54"/>
      <c r="G80" s="54">
        <f t="shared" si="8"/>
        <v>-0.01</v>
      </c>
      <c r="H80" s="110"/>
    </row>
    <row r="81" spans="2:8" x14ac:dyDescent="0.25">
      <c r="C81" s="57" t="s">
        <v>372</v>
      </c>
      <c r="D81" s="36" t="s">
        <v>518</v>
      </c>
      <c r="E81" s="54">
        <v>-0.02</v>
      </c>
      <c r="F81" s="54"/>
      <c r="G81" s="54">
        <f t="shared" si="8"/>
        <v>-0.02</v>
      </c>
      <c r="H81" s="110"/>
    </row>
    <row r="82" spans="2:8" x14ac:dyDescent="0.25">
      <c r="B82" s="37" t="s">
        <v>390</v>
      </c>
      <c r="C82" s="89"/>
      <c r="D82" s="89"/>
      <c r="E82" s="56"/>
      <c r="F82" s="56"/>
      <c r="G82" s="56"/>
    </row>
    <row r="83" spans="2:8" x14ac:dyDescent="0.25">
      <c r="C83" s="36" t="s">
        <v>387</v>
      </c>
      <c r="D83" s="36" t="s">
        <v>524</v>
      </c>
      <c r="E83" s="56">
        <f>+INDEX('2027 GSD Rate Class E-13c'!R:R,MATCH('2027 Base Rates'!D83,'2027 GSD Rate Class E-13c'!C:C,0))</f>
        <v>-0.59511107472164082</v>
      </c>
      <c r="F83" s="56"/>
      <c r="G83" s="56">
        <f t="shared" ref="G83:G84" si="9">+ROUND(E83,2)</f>
        <v>-0.6</v>
      </c>
      <c r="H83" s="109"/>
    </row>
    <row r="84" spans="2:8" x14ac:dyDescent="0.25">
      <c r="C84" s="36" t="s">
        <v>365</v>
      </c>
      <c r="D84" s="36" t="s">
        <v>519</v>
      </c>
      <c r="E84" s="56">
        <f>+INDEX('2027 GSD Rate Class E-13c'!R:R,MATCH('2027 Base Rates'!D84,'2027 GSD Rate Class E-13c'!C:C,0))</f>
        <v>-3.4053578164627223</v>
      </c>
      <c r="F84" s="56"/>
      <c r="G84" s="56">
        <f t="shared" si="9"/>
        <v>-3.41</v>
      </c>
      <c r="H84" s="109"/>
    </row>
    <row r="85" spans="2:8" x14ac:dyDescent="0.25">
      <c r="C85" s="55" t="s">
        <v>391</v>
      </c>
      <c r="D85" s="36" t="s">
        <v>520</v>
      </c>
      <c r="E85" s="92">
        <f>+INDEX('2027 GSD Rate Class E-13c'!R:R,MATCH('2027 Base Rates'!D85,'2027 GSD Rate Class E-13c'!C:C,0))</f>
        <v>-1.5234986982455446E-3</v>
      </c>
      <c r="F85" s="56"/>
      <c r="G85" s="92">
        <f t="shared" ref="G85:G86" si="10">+ROUND(E85,5)</f>
        <v>-1.5200000000000001E-3</v>
      </c>
      <c r="H85" s="111"/>
    </row>
    <row r="86" spans="2:8" x14ac:dyDescent="0.25">
      <c r="C86" s="94" t="s">
        <v>369</v>
      </c>
      <c r="D86" s="36" t="s">
        <v>521</v>
      </c>
      <c r="E86" s="92">
        <f>+INDEX('2027 GSD Rate Class E-13c'!R:R,MATCH('2027 Base Rates'!D86,'2027 GSD Rate Class E-13c'!C:C,0))</f>
        <v>-8.7222575778518486E-3</v>
      </c>
      <c r="F86" s="56"/>
      <c r="G86" s="92">
        <f t="shared" si="10"/>
        <v>-8.7200000000000003E-3</v>
      </c>
      <c r="H86" s="111"/>
    </row>
    <row r="87" spans="2:8" x14ac:dyDescent="0.25">
      <c r="C87" s="36" t="s">
        <v>389</v>
      </c>
      <c r="D87" s="36" t="s">
        <v>522</v>
      </c>
      <c r="E87" s="56">
        <f>+INDEX('2027 GSD Rate Class E-13c'!R:R,MATCH('2027 Base Rates'!D87,'2027 GSD Rate Class E-13c'!C:C,0))</f>
        <v>-0.59511107472164082</v>
      </c>
      <c r="F87" s="56"/>
      <c r="G87" s="56">
        <f t="shared" ref="G87:G88" si="11">+ROUND(E87,2)</f>
        <v>-0.6</v>
      </c>
      <c r="H87" s="109"/>
    </row>
    <row r="88" spans="2:8" x14ac:dyDescent="0.25">
      <c r="C88" s="57" t="s">
        <v>372</v>
      </c>
      <c r="D88" s="36" t="s">
        <v>523</v>
      </c>
      <c r="E88" s="56">
        <f>+INDEX('2027 GSD Rate Class E-13c'!R:R,MATCH('2027 Base Rates'!D88,'2027 GSD Rate Class E-13c'!C:C,0))</f>
        <v>-3.4053578164627223</v>
      </c>
      <c r="F88" s="56"/>
      <c r="G88" s="56">
        <f t="shared" si="11"/>
        <v>-3.41</v>
      </c>
      <c r="H88" s="109"/>
    </row>
    <row r="89" spans="2:8" x14ac:dyDescent="0.25">
      <c r="B89" s="37" t="s">
        <v>345</v>
      </c>
      <c r="C89" s="89"/>
      <c r="D89" s="89"/>
      <c r="E89" s="56"/>
      <c r="F89" s="56"/>
      <c r="G89" s="56"/>
    </row>
    <row r="90" spans="2:8" x14ac:dyDescent="0.25">
      <c r="C90" s="36" t="s">
        <v>392</v>
      </c>
      <c r="D90" s="36" t="s">
        <v>533</v>
      </c>
      <c r="E90" s="56">
        <f>+INDEX('2027 GSD Rate Class E-13c'!R:R,MATCH('2027 Base Rates'!D90,'2027 GSD Rate Class E-13c'!C:C,0))</f>
        <v>1.1240986966964326</v>
      </c>
      <c r="F90" s="56"/>
      <c r="G90" s="56">
        <f t="shared" ref="G90:G92" si="12">+ROUND(E90,2)</f>
        <v>1.1200000000000001</v>
      </c>
      <c r="H90" s="109"/>
    </row>
    <row r="91" spans="2:8" x14ac:dyDescent="0.25">
      <c r="C91" s="36" t="s">
        <v>387</v>
      </c>
      <c r="D91" s="36" t="s">
        <v>525</v>
      </c>
      <c r="E91" s="56">
        <f>+INDEX('2027 GSD Rate Class E-13c'!R:R,MATCH('2027 Base Rates'!D91,'2027 GSD Rate Class E-13c'!C:C,0))</f>
        <v>1.1240986966964326</v>
      </c>
      <c r="F91" s="56"/>
      <c r="G91" s="56">
        <f t="shared" si="12"/>
        <v>1.1200000000000001</v>
      </c>
      <c r="H91" s="109"/>
    </row>
    <row r="92" spans="2:8" x14ac:dyDescent="0.25">
      <c r="C92" s="36" t="s">
        <v>365</v>
      </c>
      <c r="D92" s="36" t="s">
        <v>526</v>
      </c>
      <c r="E92" s="56">
        <f>+INDEX('2027 GSD Rate Class E-13c'!R:R,MATCH('2027 Base Rates'!D92,'2027 GSD Rate Class E-13c'!C:C,0))</f>
        <v>1.1240986966964326</v>
      </c>
      <c r="F92" s="56"/>
      <c r="G92" s="56">
        <f t="shared" si="12"/>
        <v>1.1200000000000001</v>
      </c>
      <c r="H92" s="109"/>
    </row>
    <row r="93" spans="2:8" x14ac:dyDescent="0.25">
      <c r="C93" s="55" t="s">
        <v>393</v>
      </c>
      <c r="D93" s="36" t="s">
        <v>527</v>
      </c>
      <c r="E93" s="92">
        <f>+INDEX('2027 GSD Rate Class E-13c'!R:R,MATCH('2027 Base Rates'!D93,'2027 GSD Rate Class E-13c'!C:C,0))</f>
        <v>2.8322878926566974E-3</v>
      </c>
      <c r="F93" s="56"/>
      <c r="G93" s="92">
        <f t="shared" ref="G93:G95" si="13">+ROUND(E93,5)</f>
        <v>2.8300000000000001E-3</v>
      </c>
      <c r="H93" s="111"/>
    </row>
    <row r="94" spans="2:8" x14ac:dyDescent="0.25">
      <c r="C94" s="55" t="s">
        <v>391</v>
      </c>
      <c r="D94" s="36" t="s">
        <v>528</v>
      </c>
      <c r="E94" s="92">
        <f>+INDEX('2027 GSD Rate Class E-13c'!R:R,MATCH('2027 Base Rates'!D94,'2027 GSD Rate Class E-13c'!C:C,0))</f>
        <v>2.8322878926566974E-3</v>
      </c>
      <c r="F94" s="56"/>
      <c r="G94" s="92">
        <f t="shared" si="13"/>
        <v>2.8300000000000001E-3</v>
      </c>
      <c r="H94" s="111"/>
    </row>
    <row r="95" spans="2:8" x14ac:dyDescent="0.25">
      <c r="C95" s="94" t="s">
        <v>369</v>
      </c>
      <c r="D95" s="36" t="s">
        <v>529</v>
      </c>
      <c r="E95" s="92">
        <f>+INDEX('2027 GSD Rate Class E-13c'!R:R,MATCH('2027 Base Rates'!D95,'2027 GSD Rate Class E-13c'!C:C,0))</f>
        <v>2.8322878926566974E-3</v>
      </c>
      <c r="F95" s="56"/>
      <c r="G95" s="92">
        <f t="shared" si="13"/>
        <v>2.8300000000000001E-3</v>
      </c>
      <c r="H95" s="111"/>
    </row>
    <row r="96" spans="2:8" x14ac:dyDescent="0.25">
      <c r="C96" s="36" t="s">
        <v>394</v>
      </c>
      <c r="D96" s="36" t="s">
        <v>530</v>
      </c>
      <c r="E96" s="56">
        <f>+INDEX('2027 GSD Rate Class E-13c'!R:R,MATCH('2027 Base Rates'!D96,'2027 GSD Rate Class E-13c'!C:C,0))</f>
        <v>1.1240986966964326</v>
      </c>
      <c r="F96" s="56"/>
      <c r="G96" s="56">
        <f t="shared" ref="G96:G98" si="14">+ROUND(E96,2)</f>
        <v>1.1200000000000001</v>
      </c>
      <c r="H96" s="109"/>
    </row>
    <row r="97" spans="2:8" x14ac:dyDescent="0.25">
      <c r="C97" s="36" t="s">
        <v>389</v>
      </c>
      <c r="D97" s="36" t="s">
        <v>531</v>
      </c>
      <c r="E97" s="56">
        <f>+INDEX('2027 GSD Rate Class E-13c'!R:R,MATCH('2027 Base Rates'!D97,'2027 GSD Rate Class E-13c'!C:C,0))</f>
        <v>1.1240986966964326</v>
      </c>
      <c r="F97" s="56"/>
      <c r="G97" s="56">
        <f t="shared" si="14"/>
        <v>1.1200000000000001</v>
      </c>
      <c r="H97" s="109"/>
    </row>
    <row r="98" spans="2:8" x14ac:dyDescent="0.25">
      <c r="C98" s="57" t="s">
        <v>372</v>
      </c>
      <c r="D98" s="36" t="s">
        <v>532</v>
      </c>
      <c r="E98" s="56">
        <f>+INDEX('2027 GSD Rate Class E-13c'!R:R,MATCH('2027 Base Rates'!D98,'2027 GSD Rate Class E-13c'!C:C,0))</f>
        <v>1.1240986966964326</v>
      </c>
      <c r="F98" s="56"/>
      <c r="G98" s="56">
        <f t="shared" si="14"/>
        <v>1.1200000000000001</v>
      </c>
      <c r="H98" s="109"/>
    </row>
    <row r="99" spans="2:8" x14ac:dyDescent="0.25">
      <c r="C99" s="57"/>
      <c r="D99" s="57"/>
      <c r="E99" s="56"/>
      <c r="F99" s="56"/>
      <c r="G99" s="56"/>
    </row>
    <row r="100" spans="2:8" x14ac:dyDescent="0.25">
      <c r="C100" s="57"/>
      <c r="D100" s="57"/>
      <c r="E100" s="56"/>
      <c r="F100" s="56"/>
      <c r="G100" s="56"/>
    </row>
    <row r="101" spans="2:8" x14ac:dyDescent="0.25">
      <c r="B101" s="88" t="s">
        <v>395</v>
      </c>
      <c r="C101" s="89"/>
      <c r="D101" s="89"/>
      <c r="E101" s="56"/>
      <c r="F101" s="56"/>
      <c r="G101" s="56"/>
    </row>
    <row r="102" spans="2:8" x14ac:dyDescent="0.25">
      <c r="B102" s="37" t="s">
        <v>348</v>
      </c>
      <c r="C102" s="89"/>
      <c r="D102" s="89"/>
      <c r="E102" s="56"/>
      <c r="F102" s="56"/>
      <c r="G102" s="56"/>
    </row>
    <row r="103" spans="2:8" x14ac:dyDescent="0.25">
      <c r="B103" s="31"/>
      <c r="C103" s="36" t="s">
        <v>363</v>
      </c>
      <c r="D103" s="36" t="s">
        <v>553</v>
      </c>
      <c r="E103" s="56">
        <f>+INDEX('2027 GSD Rate Class E-13c'!R:R,MATCH('2027 Base Rates'!D103,'2027 GSD Rate Class E-13c'!C:C,0))</f>
        <v>1.8955389787430039</v>
      </c>
      <c r="F103" s="56"/>
      <c r="G103" s="56">
        <f t="shared" ref="G103:G108" si="15">+ROUND(E103,2)</f>
        <v>1.9</v>
      </c>
      <c r="H103" s="109"/>
    </row>
    <row r="104" spans="2:8" x14ac:dyDescent="0.25">
      <c r="B104" s="31"/>
      <c r="C104" s="36" t="s">
        <v>364</v>
      </c>
      <c r="D104" s="36" t="s">
        <v>554</v>
      </c>
      <c r="E104" s="56">
        <f>+INDEX('2027 GSD Rate Class E-13c'!R:R,MATCH('2027 Base Rates'!D104,'2027 GSD Rate Class E-13c'!C:C,0))</f>
        <v>10.315258628508438</v>
      </c>
      <c r="F104" s="56"/>
      <c r="G104" s="56">
        <f t="shared" si="15"/>
        <v>10.32</v>
      </c>
      <c r="H104" s="109"/>
    </row>
    <row r="105" spans="2:8" x14ac:dyDescent="0.25">
      <c r="B105" s="31"/>
      <c r="C105" s="36" t="s">
        <v>396</v>
      </c>
      <c r="D105" s="36" t="s">
        <v>555</v>
      </c>
      <c r="E105" s="56">
        <f>+INDEX('2027 GSD Rate Class E-13c'!R:R,MATCH('2027 Base Rates'!D105,'2027 GSD Rate Class E-13c'!C:C,0))</f>
        <v>28.38900237931383</v>
      </c>
      <c r="F105" s="56"/>
      <c r="G105" s="56">
        <f t="shared" si="15"/>
        <v>28.39</v>
      </c>
      <c r="H105" s="109"/>
    </row>
    <row r="106" spans="2:8" x14ac:dyDescent="0.25">
      <c r="B106" s="31"/>
      <c r="C106" s="57" t="s">
        <v>397</v>
      </c>
      <c r="D106" s="57" t="s">
        <v>556</v>
      </c>
      <c r="E106" s="56">
        <f>+INDEX('2027 GSD Rate Class E-13c'!R:R,MATCH('2027 Base Rates'!D106,'2027 GSD Rate Class E-13c'!C:C,0))</f>
        <v>1.8955389787430039</v>
      </c>
      <c r="F106" s="56"/>
      <c r="G106" s="56">
        <f t="shared" si="15"/>
        <v>1.9</v>
      </c>
      <c r="H106" s="109"/>
    </row>
    <row r="107" spans="2:8" x14ac:dyDescent="0.25">
      <c r="C107" s="57" t="s">
        <v>398</v>
      </c>
      <c r="D107" s="57" t="s">
        <v>557</v>
      </c>
      <c r="E107" s="56">
        <f>+INDEX('2027 GSD Rate Class E-13c'!R:R,MATCH('2027 Base Rates'!D107,'2027 GSD Rate Class E-13c'!C:C,0))</f>
        <v>10.315258628508438</v>
      </c>
      <c r="F107" s="56"/>
      <c r="G107" s="56">
        <f t="shared" si="15"/>
        <v>10.32</v>
      </c>
      <c r="H107" s="109"/>
    </row>
    <row r="108" spans="2:8" x14ac:dyDescent="0.25">
      <c r="C108" s="57" t="s">
        <v>399</v>
      </c>
      <c r="D108" s="57" t="s">
        <v>558</v>
      </c>
      <c r="E108" s="56">
        <f>+INDEX('2027 GSD Rate Class E-13c'!R:R,MATCH('2027 Base Rates'!D108,'2027 GSD Rate Class E-13c'!C:C,0))</f>
        <v>28.38900237931383</v>
      </c>
      <c r="F108" s="56"/>
      <c r="G108" s="56">
        <f t="shared" si="15"/>
        <v>28.39</v>
      </c>
      <c r="H108" s="109"/>
    </row>
    <row r="109" spans="2:8" x14ac:dyDescent="0.25">
      <c r="B109" s="37" t="s">
        <v>400</v>
      </c>
      <c r="C109" s="89"/>
      <c r="D109" s="89"/>
      <c r="E109" s="56"/>
      <c r="F109" s="56"/>
      <c r="G109" s="56"/>
    </row>
    <row r="110" spans="2:8" x14ac:dyDescent="0.25">
      <c r="B110" s="31"/>
      <c r="C110" s="36" t="s">
        <v>363</v>
      </c>
      <c r="D110" s="36" t="s">
        <v>567</v>
      </c>
      <c r="E110" s="92">
        <f>+INDEX('2027 GSD Rate Class E-13c'!R:R,MATCH('2027 Base Rates'!D110,'2027 GSD Rate Class E-13c'!C:C,0))</f>
        <v>8.5167007137941491E-3</v>
      </c>
      <c r="F110" s="56"/>
      <c r="G110" s="92">
        <f t="shared" ref="G110:G118" si="16">+ROUND(E110,5)</f>
        <v>8.5199999999999998E-3</v>
      </c>
      <c r="H110" s="111"/>
    </row>
    <row r="111" spans="2:8" x14ac:dyDescent="0.25">
      <c r="B111" s="31"/>
      <c r="C111" s="36" t="s">
        <v>364</v>
      </c>
      <c r="D111" s="36" t="s">
        <v>568</v>
      </c>
      <c r="E111" s="92">
        <f>+INDEX('2027 GSD Rate Class E-13c'!R:R,MATCH('2027 Base Rates'!D111,'2027 GSD Rate Class E-13c'!C:C,0))</f>
        <v>8.5167007137941491E-3</v>
      </c>
      <c r="F111" s="56"/>
      <c r="G111" s="92">
        <f t="shared" si="16"/>
        <v>8.5199999999999998E-3</v>
      </c>
      <c r="H111" s="111"/>
    </row>
    <row r="112" spans="2:8" x14ac:dyDescent="0.25">
      <c r="B112" s="31"/>
      <c r="C112" s="36" t="s">
        <v>396</v>
      </c>
      <c r="D112" s="36" t="s">
        <v>569</v>
      </c>
      <c r="E112" s="92">
        <f>+INDEX('2027 GSD Rate Class E-13c'!R:R,MATCH('2027 Base Rates'!D112,'2027 GSD Rate Class E-13c'!C:C,0))</f>
        <v>8.5167007137941491E-3</v>
      </c>
      <c r="F112" s="56"/>
      <c r="G112" s="92">
        <f t="shared" si="16"/>
        <v>8.5199999999999998E-3</v>
      </c>
      <c r="H112" s="111"/>
    </row>
    <row r="113" spans="2:8" x14ac:dyDescent="0.25">
      <c r="B113" s="31"/>
      <c r="C113" s="57" t="s">
        <v>401</v>
      </c>
      <c r="D113" s="57" t="s">
        <v>570</v>
      </c>
      <c r="E113" s="92">
        <f>+INDEX('2027 GSD Rate Class E-13c'!R:R,MATCH('2027 Base Rates'!D113,'2027 GSD Rate Class E-13c'!C:C,0))</f>
        <v>1.3700779409147108E-2</v>
      </c>
      <c r="F113" s="56"/>
      <c r="G113" s="92">
        <f t="shared" si="16"/>
        <v>1.37E-2</v>
      </c>
      <c r="H113" s="111"/>
    </row>
    <row r="114" spans="2:8" x14ac:dyDescent="0.25">
      <c r="C114" s="57" t="s">
        <v>402</v>
      </c>
      <c r="D114" s="57" t="s">
        <v>571</v>
      </c>
      <c r="E114" s="92">
        <f>+INDEX('2027 GSD Rate Class E-13c'!R:R,MATCH('2027 Base Rates'!D114,'2027 GSD Rate Class E-13c'!C:C,0))</f>
        <v>1.3700779409147108E-2</v>
      </c>
      <c r="F114" s="56"/>
      <c r="G114" s="92">
        <f t="shared" si="16"/>
        <v>1.37E-2</v>
      </c>
      <c r="H114" s="111"/>
    </row>
    <row r="115" spans="2:8" x14ac:dyDescent="0.25">
      <c r="C115" s="57" t="s">
        <v>403</v>
      </c>
      <c r="D115" s="57" t="s">
        <v>572</v>
      </c>
      <c r="E115" s="92">
        <f>+INDEX('2027 GSD Rate Class E-13c'!R:R,MATCH('2027 Base Rates'!D115,'2027 GSD Rate Class E-13c'!C:C,0))</f>
        <v>1.3700779409147108E-2</v>
      </c>
      <c r="F115" s="56"/>
      <c r="G115" s="92">
        <f t="shared" si="16"/>
        <v>1.37E-2</v>
      </c>
      <c r="H115" s="111"/>
    </row>
    <row r="116" spans="2:8" x14ac:dyDescent="0.25">
      <c r="C116" s="57" t="s">
        <v>404</v>
      </c>
      <c r="D116" s="57" t="s">
        <v>575</v>
      </c>
      <c r="E116" s="92">
        <f>+INDEX('2027 GSD Rate Class E-13c'!R:R,MATCH('2027 Base Rates'!D116,'2027 GSD Rate Class E-13c'!C:C,0))</f>
        <v>9.0060142641208308E-3</v>
      </c>
      <c r="F116" s="56"/>
      <c r="G116" s="92">
        <f t="shared" si="16"/>
        <v>9.0100000000000006E-3</v>
      </c>
      <c r="H116" s="111"/>
    </row>
    <row r="117" spans="2:8" x14ac:dyDescent="0.25">
      <c r="C117" s="57" t="s">
        <v>405</v>
      </c>
      <c r="D117" s="57" t="s">
        <v>573</v>
      </c>
      <c r="E117" s="92">
        <f>+INDEX('2027 GSD Rate Class E-13c'!R:R,MATCH('2027 Base Rates'!D117,'2027 GSD Rate Class E-13c'!C:C,0))</f>
        <v>9.0060142641208308E-3</v>
      </c>
      <c r="F117" s="56"/>
      <c r="G117" s="92">
        <f t="shared" si="16"/>
        <v>9.0100000000000006E-3</v>
      </c>
      <c r="H117" s="111"/>
    </row>
    <row r="118" spans="2:8" x14ac:dyDescent="0.25">
      <c r="C118" s="57" t="s">
        <v>406</v>
      </c>
      <c r="D118" s="57" t="s">
        <v>574</v>
      </c>
      <c r="E118" s="92">
        <f>+INDEX('2027 GSD Rate Class E-13c'!R:R,MATCH('2027 Base Rates'!D118,'2027 GSD Rate Class E-13c'!C:C,0))</f>
        <v>9.0060142641208308E-3</v>
      </c>
      <c r="F118" s="56"/>
      <c r="G118" s="92">
        <f t="shared" si="16"/>
        <v>9.0100000000000006E-3</v>
      </c>
      <c r="H118" s="111"/>
    </row>
    <row r="119" spans="2:8" x14ac:dyDescent="0.25">
      <c r="C119" s="57" t="s">
        <v>1252</v>
      </c>
      <c r="D119" s="57" t="s">
        <v>1237</v>
      </c>
      <c r="E119" s="92">
        <f>+INDEX('2027 GSD Rate Class E-13c'!R:R,MATCH('2027 Base Rates'!D119,'2027 GSD Rate Class E-13c'!C:C,0))</f>
        <v>5.0826894011411251E-3</v>
      </c>
      <c r="F119" s="56"/>
      <c r="G119" s="92">
        <f t="shared" ref="G119:G121" si="17">+ROUND(E119,5)</f>
        <v>5.0800000000000003E-3</v>
      </c>
      <c r="H119" s="111"/>
    </row>
    <row r="120" spans="2:8" x14ac:dyDescent="0.25">
      <c r="C120" s="57" t="s">
        <v>1253</v>
      </c>
      <c r="D120" s="57" t="s">
        <v>1238</v>
      </c>
      <c r="E120" s="92">
        <f>+INDEX('2027 GSD Rate Class E-13c'!R:R,MATCH('2027 Base Rates'!D120,'2027 GSD Rate Class E-13c'!C:C,0))</f>
        <v>5.0826894011411251E-3</v>
      </c>
      <c r="F120" s="56"/>
      <c r="G120" s="92">
        <f t="shared" si="17"/>
        <v>5.0800000000000003E-3</v>
      </c>
      <c r="H120" s="111"/>
    </row>
    <row r="121" spans="2:8" x14ac:dyDescent="0.25">
      <c r="C121" s="57" t="s">
        <v>1254</v>
      </c>
      <c r="D121" s="57" t="s">
        <v>1239</v>
      </c>
      <c r="E121" s="92">
        <f>+INDEX('2027 GSD Rate Class E-13c'!R:R,MATCH('2027 Base Rates'!D121,'2027 GSD Rate Class E-13c'!C:C,0))</f>
        <v>5.0826894011411251E-3</v>
      </c>
      <c r="F121" s="56"/>
      <c r="G121" s="92">
        <f t="shared" si="17"/>
        <v>5.0800000000000003E-3</v>
      </c>
      <c r="H121" s="111"/>
    </row>
    <row r="122" spans="2:8" x14ac:dyDescent="0.25">
      <c r="B122" s="37" t="s">
        <v>407</v>
      </c>
      <c r="C122" s="89"/>
      <c r="D122" s="89"/>
      <c r="E122" s="56"/>
      <c r="F122" s="56"/>
      <c r="G122" s="56"/>
    </row>
    <row r="123" spans="2:8" x14ac:dyDescent="0.25">
      <c r="B123" s="37"/>
      <c r="C123" s="57" t="s">
        <v>408</v>
      </c>
      <c r="D123" s="36" t="s">
        <v>584</v>
      </c>
      <c r="E123" s="92">
        <f>+INDEX('2027 GSD Rate Class E-13c'!R:R,MATCH('2027 Base Rates'!D123,'2027 GSD Rate Class E-13c'!C:C,0))</f>
        <v>9.916864825708676E-3</v>
      </c>
      <c r="F123" s="56"/>
      <c r="G123" s="92">
        <f t="shared" ref="G123:G131" si="18">+ROUND(E123,5)</f>
        <v>9.92E-3</v>
      </c>
      <c r="H123" s="111"/>
    </row>
    <row r="124" spans="2:8" x14ac:dyDescent="0.25">
      <c r="B124" s="37"/>
      <c r="C124" s="57" t="s">
        <v>409</v>
      </c>
      <c r="D124" s="36" t="s">
        <v>576</v>
      </c>
      <c r="E124" s="92">
        <f>+INDEX('2027 GSD Rate Class E-13c'!R:R,MATCH('2027 Base Rates'!D124,'2027 GSD Rate Class E-13c'!C:C,0))</f>
        <v>9.916864825708676E-3</v>
      </c>
      <c r="F124" s="56"/>
      <c r="G124" s="92">
        <f t="shared" si="18"/>
        <v>9.92E-3</v>
      </c>
      <c r="H124" s="111"/>
    </row>
    <row r="125" spans="2:8" x14ac:dyDescent="0.25">
      <c r="B125" s="37"/>
      <c r="C125" s="57" t="s">
        <v>410</v>
      </c>
      <c r="D125" s="36" t="s">
        <v>577</v>
      </c>
      <c r="E125" s="92">
        <f>+INDEX('2027 GSD Rate Class E-13c'!R:R,MATCH('2027 Base Rates'!D125,'2027 GSD Rate Class E-13c'!C:C,0))</f>
        <v>9.916864825708676E-3</v>
      </c>
      <c r="F125" s="56"/>
      <c r="G125" s="92">
        <f t="shared" si="18"/>
        <v>9.92E-3</v>
      </c>
      <c r="H125" s="111"/>
    </row>
    <row r="126" spans="2:8" x14ac:dyDescent="0.25">
      <c r="B126" s="31"/>
      <c r="C126" s="57" t="s">
        <v>401</v>
      </c>
      <c r="D126" s="57" t="s">
        <v>578</v>
      </c>
      <c r="E126" s="92">
        <f>+INDEX('2027 GSD Rate Class E-13c'!R:R,MATCH('2027 Base Rates'!D126,'2027 GSD Rate Class E-13c'!C:C,0))</f>
        <v>9.916864825708676E-3</v>
      </c>
      <c r="F126" s="56"/>
      <c r="G126" s="92">
        <f t="shared" si="18"/>
        <v>9.92E-3</v>
      </c>
      <c r="H126" s="111"/>
    </row>
    <row r="127" spans="2:8" x14ac:dyDescent="0.25">
      <c r="C127" s="57" t="s">
        <v>402</v>
      </c>
      <c r="D127" s="57" t="s">
        <v>579</v>
      </c>
      <c r="E127" s="92">
        <f>+INDEX('2027 GSD Rate Class E-13c'!R:R,MATCH('2027 Base Rates'!D127,'2027 GSD Rate Class E-13c'!C:C,0))</f>
        <v>9.916864825708676E-3</v>
      </c>
      <c r="F127" s="56"/>
      <c r="G127" s="92">
        <f t="shared" si="18"/>
        <v>9.92E-3</v>
      </c>
      <c r="H127" s="111"/>
    </row>
    <row r="128" spans="2:8" x14ac:dyDescent="0.25">
      <c r="C128" s="57" t="s">
        <v>403</v>
      </c>
      <c r="D128" s="57" t="s">
        <v>580</v>
      </c>
      <c r="E128" s="92">
        <f>+INDEX('2027 GSD Rate Class E-13c'!R:R,MATCH('2027 Base Rates'!D128,'2027 GSD Rate Class E-13c'!C:C,0))</f>
        <v>9.916864825708676E-3</v>
      </c>
      <c r="F128" s="56"/>
      <c r="G128" s="92">
        <f t="shared" si="18"/>
        <v>9.92E-3</v>
      </c>
      <c r="H128" s="111"/>
    </row>
    <row r="129" spans="2:8" x14ac:dyDescent="0.25">
      <c r="C129" s="57" t="s">
        <v>404</v>
      </c>
      <c r="D129" s="57" t="s">
        <v>581</v>
      </c>
      <c r="E129" s="92">
        <f>+INDEX('2027 GSD Rate Class E-13c'!R:R,MATCH('2027 Base Rates'!D129,'2027 GSD Rate Class E-13c'!C:C,0))</f>
        <v>9.916864825708676E-3</v>
      </c>
      <c r="F129" s="56"/>
      <c r="G129" s="92">
        <f t="shared" si="18"/>
        <v>9.92E-3</v>
      </c>
      <c r="H129" s="111"/>
    </row>
    <row r="130" spans="2:8" x14ac:dyDescent="0.25">
      <c r="C130" s="57" t="s">
        <v>405</v>
      </c>
      <c r="D130" s="57" t="s">
        <v>582</v>
      </c>
      <c r="E130" s="92">
        <f>+INDEX('2027 GSD Rate Class E-13c'!R:R,MATCH('2027 Base Rates'!D130,'2027 GSD Rate Class E-13c'!C:C,0))</f>
        <v>9.916864825708676E-3</v>
      </c>
      <c r="F130" s="56"/>
      <c r="G130" s="92">
        <f t="shared" si="18"/>
        <v>9.92E-3</v>
      </c>
      <c r="H130" s="111"/>
    </row>
    <row r="131" spans="2:8" x14ac:dyDescent="0.25">
      <c r="C131" s="57" t="s">
        <v>406</v>
      </c>
      <c r="D131" s="57" t="s">
        <v>583</v>
      </c>
      <c r="E131" s="92">
        <f>+INDEX('2027 GSD Rate Class E-13c'!R:R,MATCH('2027 Base Rates'!D131,'2027 GSD Rate Class E-13c'!C:C,0))</f>
        <v>9.916864825708676E-3</v>
      </c>
      <c r="F131" s="56"/>
      <c r="G131" s="92">
        <f t="shared" si="18"/>
        <v>9.92E-3</v>
      </c>
      <c r="H131" s="111"/>
    </row>
    <row r="132" spans="2:8" x14ac:dyDescent="0.25">
      <c r="C132" s="57" t="s">
        <v>1252</v>
      </c>
      <c r="D132" s="57" t="s">
        <v>1240</v>
      </c>
      <c r="E132" s="92">
        <f>+INDEX('2027 GSD Rate Class E-13c'!R:R,MATCH('2027 Base Rates'!D132,'2027 GSD Rate Class E-13c'!C:C,0))</f>
        <v>9.916864825708676E-3</v>
      </c>
      <c r="F132" s="56"/>
      <c r="G132" s="92">
        <f t="shared" ref="G132:G134" si="19">+ROUND(E132,5)</f>
        <v>9.92E-3</v>
      </c>
      <c r="H132" s="111"/>
    </row>
    <row r="133" spans="2:8" x14ac:dyDescent="0.25">
      <c r="C133" s="57" t="s">
        <v>1253</v>
      </c>
      <c r="D133" s="57" t="s">
        <v>1241</v>
      </c>
      <c r="E133" s="92">
        <f>+INDEX('2027 GSD Rate Class E-13c'!R:R,MATCH('2027 Base Rates'!D133,'2027 GSD Rate Class E-13c'!C:C,0))</f>
        <v>9.916864825708676E-3</v>
      </c>
      <c r="F133" s="56"/>
      <c r="G133" s="92">
        <f t="shared" si="19"/>
        <v>9.92E-3</v>
      </c>
      <c r="H133" s="111"/>
    </row>
    <row r="134" spans="2:8" x14ac:dyDescent="0.25">
      <c r="C134" s="57" t="s">
        <v>1254</v>
      </c>
      <c r="D134" s="57" t="s">
        <v>1242</v>
      </c>
      <c r="E134" s="92">
        <f>+INDEX('2027 GSD Rate Class E-13c'!R:R,MATCH('2027 Base Rates'!D134,'2027 GSD Rate Class E-13c'!C:C,0))</f>
        <v>9.916864825708676E-3</v>
      </c>
      <c r="F134" s="56"/>
      <c r="G134" s="92">
        <f t="shared" si="19"/>
        <v>9.92E-3</v>
      </c>
      <c r="H134" s="111"/>
    </row>
    <row r="135" spans="2:8" x14ac:dyDescent="0.25">
      <c r="B135" s="37" t="s">
        <v>411</v>
      </c>
      <c r="C135" s="89"/>
      <c r="D135" s="89"/>
      <c r="E135" s="56"/>
      <c r="F135" s="56"/>
      <c r="G135" s="56"/>
    </row>
    <row r="136" spans="2:8" x14ac:dyDescent="0.25">
      <c r="B136" s="31"/>
      <c r="C136" s="36" t="s">
        <v>363</v>
      </c>
      <c r="D136" s="36" t="s">
        <v>586</v>
      </c>
      <c r="E136" s="56">
        <f>+INDEX('2027 GSD Rate Class E-13c'!R:R,MATCH('2027 Base Rates'!D136,'2027 GSD Rate Class E-13c'!C:C,0))</f>
        <v>21.622048984035398</v>
      </c>
      <c r="F136" s="56"/>
      <c r="G136" s="56">
        <f t="shared" ref="G136:G144" si="20">+ROUND(E136,2)</f>
        <v>21.62</v>
      </c>
      <c r="H136" s="109"/>
    </row>
    <row r="137" spans="2:8" x14ac:dyDescent="0.25">
      <c r="B137" s="31"/>
      <c r="C137" s="36" t="s">
        <v>364</v>
      </c>
      <c r="D137" s="36" t="s">
        <v>585</v>
      </c>
      <c r="E137" s="56">
        <f>+INDEX('2027 GSD Rate Class E-13c'!R:R,MATCH('2027 Base Rates'!D137,'2027 GSD Rate Class E-13c'!C:C,0))</f>
        <v>21.622048984035398</v>
      </c>
      <c r="F137" s="56"/>
      <c r="G137" s="56">
        <f t="shared" si="20"/>
        <v>21.62</v>
      </c>
      <c r="H137" s="109"/>
    </row>
    <row r="138" spans="2:8" x14ac:dyDescent="0.25">
      <c r="B138" s="31"/>
      <c r="C138" s="36" t="s">
        <v>396</v>
      </c>
      <c r="D138" s="36" t="s">
        <v>587</v>
      </c>
      <c r="E138" s="56">
        <f>+INDEX('2027 GSD Rate Class E-13c'!R:R,MATCH('2027 Base Rates'!D138,'2027 GSD Rate Class E-13c'!C:C,0))</f>
        <v>21.622048984035398</v>
      </c>
      <c r="F138" s="56"/>
      <c r="G138" s="56">
        <f t="shared" si="20"/>
        <v>21.62</v>
      </c>
      <c r="H138" s="109"/>
    </row>
    <row r="139" spans="2:8" x14ac:dyDescent="0.25">
      <c r="B139" s="31"/>
      <c r="C139" s="57" t="s">
        <v>412</v>
      </c>
      <c r="D139" s="57" t="s">
        <v>588</v>
      </c>
      <c r="E139" s="56">
        <f>+INDEX('2027 GSD Rate Class E-13c'!R:R,MATCH('2027 Base Rates'!D139,'2027 GSD Rate Class E-13c'!C:C,0))</f>
        <v>5.554243565472877</v>
      </c>
      <c r="F139" s="56"/>
      <c r="G139" s="56">
        <f t="shared" si="20"/>
        <v>5.55</v>
      </c>
      <c r="H139" s="109"/>
    </row>
    <row r="140" spans="2:8" x14ac:dyDescent="0.25">
      <c r="C140" s="57" t="s">
        <v>413</v>
      </c>
      <c r="D140" s="57" t="s">
        <v>589</v>
      </c>
      <c r="E140" s="56">
        <f>+INDEX('2027 GSD Rate Class E-13c'!R:R,MATCH('2027 Base Rates'!D140,'2027 GSD Rate Class E-13c'!C:C,0))</f>
        <v>5.554243565472877</v>
      </c>
      <c r="F140" s="56"/>
      <c r="G140" s="56">
        <f t="shared" si="20"/>
        <v>5.55</v>
      </c>
      <c r="H140" s="109"/>
    </row>
    <row r="141" spans="2:8" x14ac:dyDescent="0.25">
      <c r="C141" s="57" t="s">
        <v>414</v>
      </c>
      <c r="D141" s="57" t="s">
        <v>590</v>
      </c>
      <c r="E141" s="56">
        <f>+INDEX('2027 GSD Rate Class E-13c'!R:R,MATCH('2027 Base Rates'!D141,'2027 GSD Rate Class E-13c'!C:C,0))</f>
        <v>5.554243565472877</v>
      </c>
      <c r="F141" s="56"/>
      <c r="G141" s="56">
        <f t="shared" si="20"/>
        <v>5.55</v>
      </c>
      <c r="H141" s="109"/>
    </row>
    <row r="142" spans="2:8" x14ac:dyDescent="0.25">
      <c r="C142" s="57" t="s">
        <v>415</v>
      </c>
      <c r="D142" s="57" t="s">
        <v>591</v>
      </c>
      <c r="E142" s="56">
        <f>+INDEX('2027 GSD Rate Class E-13c'!R:R,MATCH('2027 Base Rates'!D142,'2027 GSD Rate Class E-13c'!C:C,0))</f>
        <v>16.067805418562521</v>
      </c>
      <c r="F142" s="56"/>
      <c r="G142" s="56">
        <f t="shared" si="20"/>
        <v>16.07</v>
      </c>
      <c r="H142" s="109"/>
    </row>
    <row r="143" spans="2:8" x14ac:dyDescent="0.25">
      <c r="C143" s="57" t="s">
        <v>416</v>
      </c>
      <c r="D143" s="57" t="s">
        <v>592</v>
      </c>
      <c r="E143" s="56">
        <f>+INDEX('2027 GSD Rate Class E-13c'!R:R,MATCH('2027 Base Rates'!D143,'2027 GSD Rate Class E-13c'!C:C,0))</f>
        <v>16.067805418562521</v>
      </c>
      <c r="F143" s="56"/>
      <c r="G143" s="56">
        <f t="shared" si="20"/>
        <v>16.07</v>
      </c>
      <c r="H143" s="109"/>
    </row>
    <row r="144" spans="2:8" x14ac:dyDescent="0.25">
      <c r="C144" s="57" t="s">
        <v>417</v>
      </c>
      <c r="D144" s="57" t="s">
        <v>593</v>
      </c>
      <c r="E144" s="56">
        <f>+INDEX('2027 GSD Rate Class E-13c'!R:R,MATCH('2027 Base Rates'!D144,'2027 GSD Rate Class E-13c'!C:C,0))</f>
        <v>16.067805418562521</v>
      </c>
      <c r="F144" s="56"/>
      <c r="G144" s="56">
        <f t="shared" si="20"/>
        <v>16.07</v>
      </c>
      <c r="H144" s="109"/>
    </row>
    <row r="145" spans="2:8" x14ac:dyDescent="0.25">
      <c r="B145" s="37" t="s">
        <v>418</v>
      </c>
      <c r="C145" s="89"/>
      <c r="D145" s="89"/>
      <c r="E145" s="56"/>
      <c r="F145" s="56"/>
      <c r="G145" s="56"/>
    </row>
    <row r="146" spans="2:8" x14ac:dyDescent="0.25">
      <c r="B146" s="37"/>
      <c r="C146" s="57" t="s">
        <v>419</v>
      </c>
      <c r="D146" s="57" t="s">
        <v>632</v>
      </c>
      <c r="E146" s="56">
        <f>+INDEX('2027 GSD Rate Class E-13c'!R:R,MATCH('2027 Base Rates'!D146,'2027 GSD Rate Class E-13c'!C:C,0))</f>
        <v>2.7176678976140112</v>
      </c>
      <c r="F146" s="56"/>
      <c r="G146" s="56">
        <f t="shared" ref="G146:G163" si="21">+ROUND(E146,2)</f>
        <v>2.72</v>
      </c>
      <c r="H146" s="109"/>
    </row>
    <row r="147" spans="2:8" x14ac:dyDescent="0.25">
      <c r="B147" s="37"/>
      <c r="C147" s="57" t="s">
        <v>420</v>
      </c>
      <c r="D147" s="57" t="s">
        <v>633</v>
      </c>
      <c r="E147" s="56">
        <f>+INDEX('2027 GSD Rate Class E-13c'!R:R,MATCH('2027 Base Rates'!D147,'2027 GSD Rate Class E-13c'!C:C,0))</f>
        <v>2.7176678976140112</v>
      </c>
      <c r="F147" s="56"/>
      <c r="G147" s="56">
        <f t="shared" si="21"/>
        <v>2.72</v>
      </c>
      <c r="H147" s="109"/>
    </row>
    <row r="148" spans="2:8" x14ac:dyDescent="0.25">
      <c r="B148" s="37"/>
      <c r="C148" s="57" t="s">
        <v>421</v>
      </c>
      <c r="D148" s="57" t="s">
        <v>634</v>
      </c>
      <c r="E148" s="56">
        <f>+INDEX('2027 GSD Rate Class E-13c'!R:R,MATCH('2027 Base Rates'!D148,'2027 GSD Rate Class E-13c'!C:C,0))</f>
        <v>2.7176678976140112</v>
      </c>
      <c r="F148" s="56"/>
      <c r="G148" s="56">
        <f t="shared" si="21"/>
        <v>2.72</v>
      </c>
      <c r="H148" s="109"/>
    </row>
    <row r="149" spans="2:8" x14ac:dyDescent="0.25">
      <c r="B149" s="37"/>
      <c r="C149" s="57" t="s">
        <v>422</v>
      </c>
      <c r="D149" s="57" t="s">
        <v>635</v>
      </c>
      <c r="E149" s="56">
        <f>+INDEX('2027 GSD Rate Class E-13c'!R:R,MATCH('2027 Base Rates'!D149,'2027 GSD Rate Class E-13c'!C:C,0))</f>
        <v>2.5985669140532379</v>
      </c>
      <c r="F149" s="56"/>
      <c r="G149" s="56">
        <f t="shared" si="21"/>
        <v>2.6</v>
      </c>
      <c r="H149" s="109"/>
    </row>
    <row r="150" spans="2:8" x14ac:dyDescent="0.25">
      <c r="B150" s="37"/>
      <c r="C150" s="57" t="s">
        <v>423</v>
      </c>
      <c r="D150" s="57" t="s">
        <v>636</v>
      </c>
      <c r="E150" s="56">
        <f>+INDEX('2027 GSD Rate Class E-13c'!R:R,MATCH('2027 Base Rates'!D150,'2027 GSD Rate Class E-13c'!C:C,0))</f>
        <v>2.5985669140532379</v>
      </c>
      <c r="F150" s="56"/>
      <c r="G150" s="56">
        <f t="shared" si="21"/>
        <v>2.6</v>
      </c>
      <c r="H150" s="109"/>
    </row>
    <row r="151" spans="2:8" x14ac:dyDescent="0.25">
      <c r="B151" s="37"/>
      <c r="C151" s="57" t="s">
        <v>424</v>
      </c>
      <c r="D151" s="57" t="s">
        <v>637</v>
      </c>
      <c r="E151" s="56">
        <f>+INDEX('2027 GSD Rate Class E-13c'!R:R,MATCH('2027 Base Rates'!D151,'2027 GSD Rate Class E-13c'!C:C,0))</f>
        <v>2.5985669140532379</v>
      </c>
      <c r="F151" s="56"/>
      <c r="G151" s="56">
        <f t="shared" si="21"/>
        <v>2.6</v>
      </c>
      <c r="H151" s="109"/>
    </row>
    <row r="152" spans="2:8" x14ac:dyDescent="0.25">
      <c r="B152" s="37"/>
      <c r="C152" s="57" t="s">
        <v>425</v>
      </c>
      <c r="D152" s="57" t="s">
        <v>638</v>
      </c>
      <c r="E152" s="56">
        <f>+INDEX('2027 GSD Rate Class E-13c'!R:R,MATCH('2027 Base Rates'!D152,'2027 GSD Rate Class E-13c'!C:C,0))</f>
        <v>1.0285994034794066</v>
      </c>
      <c r="F152" s="56"/>
      <c r="G152" s="56">
        <f t="shared" si="21"/>
        <v>1.03</v>
      </c>
      <c r="H152" s="109"/>
    </row>
    <row r="153" spans="2:8" x14ac:dyDescent="0.25">
      <c r="B153" s="37"/>
      <c r="C153" s="57" t="s">
        <v>426</v>
      </c>
      <c r="D153" s="57" t="s">
        <v>639</v>
      </c>
      <c r="E153" s="56">
        <f>+INDEX('2027 GSD Rate Class E-13c'!R:R,MATCH('2027 Base Rates'!D153,'2027 GSD Rate Class E-13c'!C:C,0))</f>
        <v>1.0285994034794066</v>
      </c>
      <c r="F153" s="56"/>
      <c r="G153" s="56">
        <f t="shared" si="21"/>
        <v>1.03</v>
      </c>
      <c r="H153" s="109"/>
    </row>
    <row r="154" spans="2:8" x14ac:dyDescent="0.25">
      <c r="B154" s="37"/>
      <c r="C154" s="57" t="s">
        <v>427</v>
      </c>
      <c r="D154" s="57" t="s">
        <v>640</v>
      </c>
      <c r="E154" s="56">
        <f>+INDEX('2027 GSD Rate Class E-13c'!R:R,MATCH('2027 Base Rates'!D154,'2027 GSD Rate Class E-13c'!C:C,0))</f>
        <v>1.0285994034794066</v>
      </c>
      <c r="F154" s="56"/>
      <c r="G154" s="56">
        <f t="shared" si="21"/>
        <v>1.03</v>
      </c>
      <c r="H154" s="109"/>
    </row>
    <row r="155" spans="2:8" x14ac:dyDescent="0.25">
      <c r="C155" s="57" t="s">
        <v>428</v>
      </c>
      <c r="D155" s="57" t="s">
        <v>649</v>
      </c>
      <c r="E155" s="56">
        <f>+INDEX('2027 GSD Rate Class E-13c'!R:R,MATCH('2027 Base Rates'!D155,'2027 GSD Rate Class E-13c'!C:C,0))</f>
        <v>2.7176678976140112</v>
      </c>
      <c r="F155" s="56"/>
      <c r="G155" s="56">
        <f t="shared" si="21"/>
        <v>2.72</v>
      </c>
      <c r="H155" s="109"/>
    </row>
    <row r="156" spans="2:8" x14ac:dyDescent="0.25">
      <c r="C156" s="57" t="s">
        <v>429</v>
      </c>
      <c r="D156" s="57" t="s">
        <v>641</v>
      </c>
      <c r="E156" s="56">
        <f>+INDEX('2027 GSD Rate Class E-13c'!R:R,MATCH('2027 Base Rates'!D156,'2027 GSD Rate Class E-13c'!C:C,0))</f>
        <v>2.7176678976140112</v>
      </c>
      <c r="F156" s="56"/>
      <c r="G156" s="56">
        <f t="shared" si="21"/>
        <v>2.72</v>
      </c>
      <c r="H156" s="109"/>
    </row>
    <row r="157" spans="2:8" x14ac:dyDescent="0.25">
      <c r="C157" s="57" t="s">
        <v>430</v>
      </c>
      <c r="D157" s="57" t="s">
        <v>642</v>
      </c>
      <c r="E157" s="56">
        <f>+INDEX('2027 GSD Rate Class E-13c'!R:R,MATCH('2027 Base Rates'!D157,'2027 GSD Rate Class E-13c'!C:C,0))</f>
        <v>2.7176678976140112</v>
      </c>
      <c r="F157" s="56"/>
      <c r="G157" s="56">
        <f t="shared" si="21"/>
        <v>2.72</v>
      </c>
      <c r="H157" s="109"/>
    </row>
    <row r="158" spans="2:8" x14ac:dyDescent="0.25">
      <c r="C158" s="57" t="s">
        <v>431</v>
      </c>
      <c r="D158" s="57" t="s">
        <v>643</v>
      </c>
      <c r="E158" s="56">
        <f>+INDEX('2027 GSD Rate Class E-13c'!R:R,MATCH('2027 Base Rates'!D158,'2027 GSD Rate Class E-13c'!C:C,0))</f>
        <v>2.5985669140532379</v>
      </c>
      <c r="F158" s="56"/>
      <c r="G158" s="56">
        <f t="shared" si="21"/>
        <v>2.6</v>
      </c>
      <c r="H158" s="109"/>
    </row>
    <row r="159" spans="2:8" x14ac:dyDescent="0.25">
      <c r="C159" s="57" t="s">
        <v>432</v>
      </c>
      <c r="D159" s="57" t="s">
        <v>644</v>
      </c>
      <c r="E159" s="56">
        <f>+INDEX('2027 GSD Rate Class E-13c'!R:R,MATCH('2027 Base Rates'!D159,'2027 GSD Rate Class E-13c'!C:C,0))</f>
        <v>2.5985669140532379</v>
      </c>
      <c r="F159" s="56"/>
      <c r="G159" s="56">
        <f t="shared" si="21"/>
        <v>2.6</v>
      </c>
      <c r="H159" s="109"/>
    </row>
    <row r="160" spans="2:8" x14ac:dyDescent="0.25">
      <c r="C160" s="57" t="s">
        <v>433</v>
      </c>
      <c r="D160" s="57" t="s">
        <v>645</v>
      </c>
      <c r="E160" s="56">
        <f>+INDEX('2027 GSD Rate Class E-13c'!R:R,MATCH('2027 Base Rates'!D160,'2027 GSD Rate Class E-13c'!C:C,0))</f>
        <v>2.5985669140532379</v>
      </c>
      <c r="F160" s="56"/>
      <c r="G160" s="56">
        <f t="shared" si="21"/>
        <v>2.6</v>
      </c>
      <c r="H160" s="109"/>
    </row>
    <row r="161" spans="2:8" x14ac:dyDescent="0.25">
      <c r="C161" s="57" t="s">
        <v>434</v>
      </c>
      <c r="D161" s="57" t="s">
        <v>646</v>
      </c>
      <c r="E161" s="56">
        <f>+INDEX('2027 GSD Rate Class E-13c'!R:R,MATCH('2027 Base Rates'!D161,'2027 GSD Rate Class E-13c'!C:C,0))</f>
        <v>1.0285994034794066</v>
      </c>
      <c r="F161" s="56"/>
      <c r="G161" s="56">
        <f t="shared" si="21"/>
        <v>1.03</v>
      </c>
      <c r="H161" s="109"/>
    </row>
    <row r="162" spans="2:8" x14ac:dyDescent="0.25">
      <c r="C162" s="57" t="s">
        <v>435</v>
      </c>
      <c r="D162" s="57" t="s">
        <v>647</v>
      </c>
      <c r="E162" s="56">
        <f>+INDEX('2027 GSD Rate Class E-13c'!R:R,MATCH('2027 Base Rates'!D162,'2027 GSD Rate Class E-13c'!C:C,0))</f>
        <v>1.0285994034794066</v>
      </c>
      <c r="F162" s="56"/>
      <c r="G162" s="56">
        <f t="shared" si="21"/>
        <v>1.03</v>
      </c>
      <c r="H162" s="109"/>
    </row>
    <row r="163" spans="2:8" x14ac:dyDescent="0.25">
      <c r="C163" s="57" t="s">
        <v>436</v>
      </c>
      <c r="D163" s="57" t="s">
        <v>648</v>
      </c>
      <c r="E163" s="56">
        <f>+INDEX('2027 GSD Rate Class E-13c'!R:R,MATCH('2027 Base Rates'!D163,'2027 GSD Rate Class E-13c'!C:C,0))</f>
        <v>1.0285994034794066</v>
      </c>
      <c r="F163" s="56"/>
      <c r="G163" s="56">
        <f t="shared" si="21"/>
        <v>1.03</v>
      </c>
      <c r="H163" s="109"/>
    </row>
    <row r="164" spans="2:8" x14ac:dyDescent="0.25">
      <c r="C164" s="57"/>
      <c r="D164" s="57"/>
      <c r="E164" s="56"/>
      <c r="F164" s="56"/>
      <c r="G164" s="56"/>
    </row>
    <row r="165" spans="2:8" x14ac:dyDescent="0.25">
      <c r="B165" s="37" t="s">
        <v>437</v>
      </c>
      <c r="C165" s="89"/>
      <c r="D165" s="89"/>
      <c r="E165" s="56"/>
      <c r="F165" s="56"/>
      <c r="G165" s="56"/>
    </row>
    <row r="166" spans="2:8" x14ac:dyDescent="0.25">
      <c r="B166" s="31"/>
      <c r="C166" s="36" t="s">
        <v>364</v>
      </c>
      <c r="D166" s="36" t="s">
        <v>650</v>
      </c>
      <c r="E166" s="54">
        <v>-0.01</v>
      </c>
      <c r="F166" s="54"/>
      <c r="G166" s="54">
        <f>+E166</f>
        <v>-0.01</v>
      </c>
      <c r="H166" s="110"/>
    </row>
    <row r="167" spans="2:8" x14ac:dyDescent="0.25">
      <c r="B167" s="31"/>
      <c r="C167" s="36" t="s">
        <v>396</v>
      </c>
      <c r="D167" s="36" t="s">
        <v>651</v>
      </c>
      <c r="E167" s="54">
        <v>-0.02</v>
      </c>
      <c r="F167" s="54"/>
      <c r="G167" s="54">
        <f t="shared" ref="G167:G169" si="22">+E167</f>
        <v>-0.02</v>
      </c>
      <c r="H167" s="110"/>
    </row>
    <row r="168" spans="2:8" x14ac:dyDescent="0.25">
      <c r="C168" s="36" t="s">
        <v>389</v>
      </c>
      <c r="D168" s="36" t="s">
        <v>652</v>
      </c>
      <c r="E168" s="54">
        <v>-0.01</v>
      </c>
      <c r="F168" s="54"/>
      <c r="G168" s="54">
        <f t="shared" si="22"/>
        <v>-0.01</v>
      </c>
      <c r="H168" s="110"/>
    </row>
    <row r="169" spans="2:8" x14ac:dyDescent="0.25">
      <c r="C169" s="36" t="s">
        <v>438</v>
      </c>
      <c r="D169" s="36" t="s">
        <v>653</v>
      </c>
      <c r="E169" s="54">
        <v>-0.02</v>
      </c>
      <c r="F169" s="54"/>
      <c r="G169" s="54">
        <f t="shared" si="22"/>
        <v>-0.02</v>
      </c>
      <c r="H169" s="110"/>
    </row>
    <row r="170" spans="2:8" x14ac:dyDescent="0.25">
      <c r="B170" s="31"/>
      <c r="C170" s="89"/>
      <c r="D170" s="89"/>
      <c r="E170" s="56"/>
      <c r="F170" s="56"/>
      <c r="G170" s="56"/>
    </row>
    <row r="171" spans="2:8" x14ac:dyDescent="0.25">
      <c r="C171" s="36"/>
      <c r="D171" s="36"/>
      <c r="E171" s="56"/>
      <c r="F171" s="56"/>
      <c r="G171" s="56"/>
    </row>
    <row r="172" spans="2:8" x14ac:dyDescent="0.25">
      <c r="C172" s="36"/>
      <c r="D172" s="36"/>
      <c r="E172" s="56"/>
      <c r="F172" s="56"/>
      <c r="G172" s="56"/>
    </row>
    <row r="173" spans="2:8" x14ac:dyDescent="0.25">
      <c r="B173" s="95" t="s">
        <v>439</v>
      </c>
      <c r="C173" s="89"/>
      <c r="D173" s="89"/>
      <c r="E173" s="56"/>
      <c r="F173" s="56"/>
      <c r="G173" s="56"/>
    </row>
    <row r="174" spans="2:8" x14ac:dyDescent="0.25">
      <c r="B174" s="8"/>
      <c r="C174" s="36" t="s">
        <v>364</v>
      </c>
      <c r="D174" s="36" t="s">
        <v>654</v>
      </c>
      <c r="E174" s="56">
        <f>+INDEX('2027 GSD Rate Class E-13c'!R:R,MATCH('2027 Base Rates'!D174,'2027 GSD Rate Class E-13c'!C:C,0))</f>
        <v>-0.59511107472164082</v>
      </c>
      <c r="F174" s="56"/>
      <c r="G174" s="56">
        <f t="shared" ref="G174:G177" si="23">+ROUND(E174,2)</f>
        <v>-0.6</v>
      </c>
      <c r="H174" s="109"/>
    </row>
    <row r="175" spans="2:8" x14ac:dyDescent="0.25">
      <c r="B175" s="8"/>
      <c r="C175" s="36" t="s">
        <v>396</v>
      </c>
      <c r="D175" s="36" t="s">
        <v>655</v>
      </c>
      <c r="E175" s="56">
        <f>+INDEX('2027 GSD Rate Class E-13c'!R:R,MATCH('2027 Base Rates'!D175,'2027 GSD Rate Class E-13c'!C:C,0))</f>
        <v>-3.4053578164627223</v>
      </c>
      <c r="F175" s="56"/>
      <c r="G175" s="56">
        <f t="shared" si="23"/>
        <v>-3.41</v>
      </c>
      <c r="H175" s="109"/>
    </row>
    <row r="176" spans="2:8" x14ac:dyDescent="0.25">
      <c r="C176" s="36" t="s">
        <v>389</v>
      </c>
      <c r="D176" s="36" t="s">
        <v>656</v>
      </c>
      <c r="E176" s="56">
        <f>+INDEX('2027 GSD Rate Class E-13c'!R:R,MATCH('2027 Base Rates'!D176,'2027 GSD Rate Class E-13c'!C:C,0))</f>
        <v>-0.59511107472164082</v>
      </c>
      <c r="F176" s="56"/>
      <c r="G176" s="56">
        <f t="shared" si="23"/>
        <v>-0.6</v>
      </c>
      <c r="H176" s="109"/>
    </row>
    <row r="177" spans="2:8" x14ac:dyDescent="0.25">
      <c r="C177" s="36" t="s">
        <v>438</v>
      </c>
      <c r="D177" s="36" t="s">
        <v>657</v>
      </c>
      <c r="E177" s="56">
        <f>+INDEX('2027 GSD Rate Class E-13c'!R:R,MATCH('2027 Base Rates'!D177,'2027 GSD Rate Class E-13c'!C:C,0))</f>
        <v>-3.4053578164627223</v>
      </c>
      <c r="F177" s="56"/>
      <c r="G177" s="56">
        <f t="shared" si="23"/>
        <v>-3.41</v>
      </c>
      <c r="H177" s="109"/>
    </row>
    <row r="178" spans="2:8" x14ac:dyDescent="0.25">
      <c r="B178" s="95" t="s">
        <v>440</v>
      </c>
      <c r="C178" s="89"/>
      <c r="D178" s="89"/>
      <c r="E178" s="56"/>
      <c r="F178" s="56"/>
      <c r="G178" s="56"/>
    </row>
    <row r="179" spans="2:8" x14ac:dyDescent="0.25">
      <c r="B179" s="95"/>
      <c r="C179" s="36" t="s">
        <v>441</v>
      </c>
      <c r="D179" s="36" t="s">
        <v>661</v>
      </c>
      <c r="E179" s="56">
        <f>+INDEX('2027 GSD Rate Class E-13c'!R:R,MATCH('2027 Base Rates'!D179,'2027 GSD Rate Class E-13c'!C:C,0))</f>
        <v>-2.2702385443084814</v>
      </c>
      <c r="F179" s="56"/>
      <c r="G179" s="56">
        <f t="shared" ref="G179:G182" si="24">+ROUND(E179,2)</f>
        <v>-2.27</v>
      </c>
      <c r="H179" s="109"/>
    </row>
    <row r="180" spans="2:8" x14ac:dyDescent="0.25">
      <c r="B180" s="95"/>
      <c r="C180" s="36" t="s">
        <v>442</v>
      </c>
      <c r="D180" s="36" t="s">
        <v>658</v>
      </c>
      <c r="E180" s="56">
        <f>+INDEX('2027 GSD Rate Class E-13c'!R:R,MATCH('2027 Base Rates'!D180,'2027 GSD Rate Class E-13c'!C:C,0))</f>
        <v>-2.7661644399098484</v>
      </c>
      <c r="F180" s="56"/>
      <c r="G180" s="56">
        <f t="shared" si="24"/>
        <v>-2.77</v>
      </c>
      <c r="H180" s="109"/>
    </row>
    <row r="181" spans="2:8" x14ac:dyDescent="0.25">
      <c r="C181" s="36" t="s">
        <v>389</v>
      </c>
      <c r="D181" s="36" t="s">
        <v>659</v>
      </c>
      <c r="E181" s="56">
        <f>+INDEX('2027 GSD Rate Class E-13c'!R:R,MATCH('2027 Base Rates'!D181,'2027 GSD Rate Class E-13c'!C:C,0))</f>
        <v>-2.2702385443084814</v>
      </c>
      <c r="F181" s="56"/>
      <c r="G181" s="56">
        <f t="shared" si="24"/>
        <v>-2.27</v>
      </c>
      <c r="H181" s="109"/>
    </row>
    <row r="182" spans="2:8" x14ac:dyDescent="0.25">
      <c r="C182" s="36" t="s">
        <v>438</v>
      </c>
      <c r="D182" s="36" t="s">
        <v>660</v>
      </c>
      <c r="E182" s="56">
        <f>+INDEX('2027 GSD Rate Class E-13c'!R:R,MATCH('2027 Base Rates'!D182,'2027 GSD Rate Class E-13c'!C:C,0))</f>
        <v>-2.7661644399098484</v>
      </c>
      <c r="F182" s="56"/>
      <c r="G182" s="56">
        <f t="shared" si="24"/>
        <v>-2.77</v>
      </c>
      <c r="H182" s="109"/>
    </row>
    <row r="183" spans="2:8" x14ac:dyDescent="0.25">
      <c r="B183" s="37" t="s">
        <v>443</v>
      </c>
      <c r="C183" s="89"/>
      <c r="D183" s="89"/>
      <c r="E183" s="56"/>
      <c r="F183" s="56"/>
      <c r="G183" s="56"/>
    </row>
    <row r="184" spans="2:8" x14ac:dyDescent="0.25">
      <c r="B184" s="31"/>
      <c r="C184" s="36" t="s">
        <v>363</v>
      </c>
      <c r="D184" s="36" t="s">
        <v>662</v>
      </c>
      <c r="E184" s="56">
        <f>+INDEX('2027 GSD Rate Class E-13c'!R:R,MATCH('2027 Base Rates'!D184,'2027 GSD Rate Class E-13c'!C:C,0))</f>
        <v>1.1240986966964326</v>
      </c>
      <c r="F184" s="56"/>
      <c r="G184" s="56">
        <f t="shared" ref="G184:G189" si="25">+ROUND(E184,2)</f>
        <v>1.1200000000000001</v>
      </c>
      <c r="H184" s="109"/>
    </row>
    <row r="185" spans="2:8" x14ac:dyDescent="0.25">
      <c r="B185" s="31"/>
      <c r="C185" s="36" t="s">
        <v>364</v>
      </c>
      <c r="D185" s="36" t="s">
        <v>663</v>
      </c>
      <c r="E185" s="56">
        <f>+INDEX('2027 GSD Rate Class E-13c'!R:R,MATCH('2027 Base Rates'!D185,'2027 GSD Rate Class E-13c'!C:C,0))</f>
        <v>1.1240986966964326</v>
      </c>
      <c r="F185" s="56"/>
      <c r="G185" s="56">
        <f t="shared" si="25"/>
        <v>1.1200000000000001</v>
      </c>
      <c r="H185" s="109"/>
    </row>
    <row r="186" spans="2:8" x14ac:dyDescent="0.25">
      <c r="B186" s="31"/>
      <c r="C186" s="36" t="s">
        <v>396</v>
      </c>
      <c r="D186" s="36" t="s">
        <v>664</v>
      </c>
      <c r="E186" s="56">
        <f>+INDEX('2027 GSD Rate Class E-13c'!R:R,MATCH('2027 Base Rates'!D186,'2027 GSD Rate Class E-13c'!C:C,0))</f>
        <v>1.1240986966964326</v>
      </c>
      <c r="F186" s="56"/>
      <c r="G186" s="56">
        <f t="shared" si="25"/>
        <v>1.1200000000000001</v>
      </c>
      <c r="H186" s="109"/>
    </row>
    <row r="187" spans="2:8" x14ac:dyDescent="0.25">
      <c r="B187" s="31"/>
      <c r="C187" s="57" t="s">
        <v>397</v>
      </c>
      <c r="D187" s="36" t="s">
        <v>665</v>
      </c>
      <c r="E187" s="56">
        <f>+INDEX('2027 GSD Rate Class E-13c'!R:R,MATCH('2027 Base Rates'!D187,'2027 GSD Rate Class E-13c'!C:C,0))</f>
        <v>1.1240986966964326</v>
      </c>
      <c r="F187" s="56"/>
      <c r="G187" s="56">
        <f t="shared" si="25"/>
        <v>1.1200000000000001</v>
      </c>
      <c r="H187" s="109"/>
    </row>
    <row r="188" spans="2:8" x14ac:dyDescent="0.25">
      <c r="C188" s="36" t="s">
        <v>389</v>
      </c>
      <c r="D188" s="36" t="s">
        <v>666</v>
      </c>
      <c r="E188" s="56">
        <f>+INDEX('2027 GSD Rate Class E-13c'!R:R,MATCH('2027 Base Rates'!D188,'2027 GSD Rate Class E-13c'!C:C,0))</f>
        <v>1.1240986966964326</v>
      </c>
      <c r="F188" s="56"/>
      <c r="G188" s="56">
        <f t="shared" si="25"/>
        <v>1.1200000000000001</v>
      </c>
      <c r="H188" s="109"/>
    </row>
    <row r="189" spans="2:8" x14ac:dyDescent="0.25">
      <c r="C189" s="36" t="s">
        <v>438</v>
      </c>
      <c r="D189" s="36" t="s">
        <v>667</v>
      </c>
      <c r="E189" s="56">
        <f>+INDEX('2027 GSD Rate Class E-13c'!R:R,MATCH('2027 Base Rates'!D189,'2027 GSD Rate Class E-13c'!C:C,0))</f>
        <v>1.1240986966964326</v>
      </c>
      <c r="F189" s="56"/>
      <c r="G189" s="56">
        <f t="shared" si="25"/>
        <v>1.1200000000000001</v>
      </c>
      <c r="H189" s="109"/>
    </row>
    <row r="190" spans="2:8" x14ac:dyDescent="0.25">
      <c r="C190" s="36"/>
      <c r="D190" s="36"/>
      <c r="E190" s="56"/>
      <c r="F190" s="56"/>
      <c r="G190" s="56"/>
    </row>
    <row r="191" spans="2:8" x14ac:dyDescent="0.25">
      <c r="B191" t="s">
        <v>444</v>
      </c>
      <c r="C191" s="36"/>
      <c r="D191" s="36"/>
      <c r="E191" s="56"/>
      <c r="F191" s="56"/>
      <c r="G191" s="56"/>
    </row>
    <row r="192" spans="2:8" x14ac:dyDescent="0.25">
      <c r="C192" s="36" t="s">
        <v>392</v>
      </c>
      <c r="D192" s="36" t="s">
        <v>668</v>
      </c>
      <c r="E192" s="92">
        <f>+INDEX('2027 GSD Rate Class E-13c'!R:R,MATCH('2027 Base Rates'!D192,'2027 GSD Rate Class E-13c'!C:C,0))</f>
        <v>2.2371768179350569E-3</v>
      </c>
      <c r="F192" s="56"/>
      <c r="G192" s="92">
        <f t="shared" ref="G192:G197" si="26">+ROUND(E192,5)</f>
        <v>2.2399999999999998E-3</v>
      </c>
      <c r="H192" s="111"/>
    </row>
    <row r="193" spans="2:8" x14ac:dyDescent="0.25">
      <c r="C193" s="36" t="s">
        <v>387</v>
      </c>
      <c r="D193" s="36" t="s">
        <v>669</v>
      </c>
      <c r="E193" s="92">
        <f>+INDEX('2027 GSD Rate Class E-13c'!R:R,MATCH('2027 Base Rates'!D193,'2027 GSD Rate Class E-13c'!C:C,0))</f>
        <v>2.2371768179350569E-3</v>
      </c>
      <c r="F193" s="56"/>
      <c r="G193" s="92">
        <f t="shared" si="26"/>
        <v>2.2399999999999998E-3</v>
      </c>
      <c r="H193" s="111"/>
    </row>
    <row r="194" spans="2:8" x14ac:dyDescent="0.25">
      <c r="C194" s="36" t="s">
        <v>365</v>
      </c>
      <c r="D194" s="36" t="s">
        <v>670</v>
      </c>
      <c r="E194" s="92">
        <f>+INDEX('2027 GSD Rate Class E-13c'!R:R,MATCH('2027 Base Rates'!D194,'2027 GSD Rate Class E-13c'!C:C,0))</f>
        <v>2.2371768179350569E-3</v>
      </c>
      <c r="F194" s="56"/>
      <c r="G194" s="92">
        <f t="shared" si="26"/>
        <v>2.2399999999999998E-3</v>
      </c>
      <c r="H194" s="111"/>
    </row>
    <row r="195" spans="2:8" x14ac:dyDescent="0.25">
      <c r="C195" s="36" t="s">
        <v>394</v>
      </c>
      <c r="D195" s="36" t="s">
        <v>671</v>
      </c>
      <c r="E195" s="92">
        <f>+INDEX('2027 GSD Rate Class E-13c'!R:R,MATCH('2027 Base Rates'!D195,'2027 GSD Rate Class E-13c'!C:C,0))</f>
        <v>2.2371768179350569E-3</v>
      </c>
      <c r="F195" s="56"/>
      <c r="G195" s="92">
        <f t="shared" si="26"/>
        <v>2.2399999999999998E-3</v>
      </c>
      <c r="H195" s="111"/>
    </row>
    <row r="196" spans="2:8" x14ac:dyDescent="0.25">
      <c r="C196" s="36" t="s">
        <v>389</v>
      </c>
      <c r="D196" s="36" t="s">
        <v>672</v>
      </c>
      <c r="E196" s="92">
        <f>+INDEX('2027 GSD Rate Class E-13c'!R:R,MATCH('2027 Base Rates'!D196,'2027 GSD Rate Class E-13c'!C:C,0))</f>
        <v>2.2371768179350569E-3</v>
      </c>
      <c r="F196" s="56"/>
      <c r="G196" s="92">
        <f t="shared" si="26"/>
        <v>2.2399999999999998E-3</v>
      </c>
      <c r="H196" s="111"/>
    </row>
    <row r="197" spans="2:8" x14ac:dyDescent="0.25">
      <c r="C197" s="36" t="s">
        <v>372</v>
      </c>
      <c r="D197" s="36" t="s">
        <v>673</v>
      </c>
      <c r="E197" s="92">
        <f>+INDEX('2027 GSD Rate Class E-13c'!R:R,MATCH('2027 Base Rates'!D197,'2027 GSD Rate Class E-13c'!C:C,0))</f>
        <v>2.2371768179350569E-3</v>
      </c>
      <c r="F197" s="56"/>
      <c r="G197" s="92">
        <f t="shared" si="26"/>
        <v>2.2399999999999998E-3</v>
      </c>
      <c r="H197" s="111"/>
    </row>
    <row r="198" spans="2:8" x14ac:dyDescent="0.25">
      <c r="B198" t="s">
        <v>445</v>
      </c>
      <c r="C198" s="36"/>
      <c r="D198" s="36"/>
      <c r="E198" s="56"/>
      <c r="F198" s="56"/>
      <c r="G198" s="56"/>
    </row>
    <row r="199" spans="2:8" x14ac:dyDescent="0.25">
      <c r="C199" s="36" t="s">
        <v>392</v>
      </c>
      <c r="D199" s="36" t="s">
        <v>679</v>
      </c>
      <c r="E199" s="92">
        <f>+INDEX('2027 GSD Rate Class E-13c'!R:R,MATCH('2027 Base Rates'!D199,'2027 GSD Rate Class E-13c'!C:C,0))</f>
        <v>-1.1240986966964326E-3</v>
      </c>
      <c r="F199" s="56"/>
      <c r="G199" s="92">
        <f t="shared" ref="G199:G204" si="27">+ROUND(E199,5)</f>
        <v>-1.1199999999999999E-3</v>
      </c>
      <c r="H199" s="111"/>
    </row>
    <row r="200" spans="2:8" x14ac:dyDescent="0.25">
      <c r="C200" s="36" t="s">
        <v>387</v>
      </c>
      <c r="D200" s="36" t="s">
        <v>674</v>
      </c>
      <c r="E200" s="92">
        <f>+INDEX('2027 GSD Rate Class E-13c'!R:R,MATCH('2027 Base Rates'!D200,'2027 GSD Rate Class E-13c'!C:C,0))</f>
        <v>-1.1240986966964326E-3</v>
      </c>
      <c r="F200" s="56"/>
      <c r="G200" s="92">
        <f t="shared" si="27"/>
        <v>-1.1199999999999999E-3</v>
      </c>
      <c r="H200" s="111"/>
    </row>
    <row r="201" spans="2:8" x14ac:dyDescent="0.25">
      <c r="C201" s="36" t="s">
        <v>365</v>
      </c>
      <c r="D201" s="36" t="s">
        <v>675</v>
      </c>
      <c r="E201" s="92">
        <f>+INDEX('2027 GSD Rate Class E-13c'!R:R,MATCH('2027 Base Rates'!D201,'2027 GSD Rate Class E-13c'!C:C,0))</f>
        <v>-1.1240986966964326E-3</v>
      </c>
      <c r="F201" s="56"/>
      <c r="G201" s="92">
        <f t="shared" si="27"/>
        <v>-1.1199999999999999E-3</v>
      </c>
      <c r="H201" s="111"/>
    </row>
    <row r="202" spans="2:8" x14ac:dyDescent="0.25">
      <c r="C202" s="36" t="s">
        <v>394</v>
      </c>
      <c r="D202" s="36" t="s">
        <v>676</v>
      </c>
      <c r="E202" s="92">
        <f>+INDEX('2027 GSD Rate Class E-13c'!R:R,MATCH('2027 Base Rates'!D202,'2027 GSD Rate Class E-13c'!C:C,0))</f>
        <v>-1.1240986966964326E-3</v>
      </c>
      <c r="F202" s="56"/>
      <c r="G202" s="92">
        <f t="shared" si="27"/>
        <v>-1.1199999999999999E-3</v>
      </c>
      <c r="H202" s="111"/>
    </row>
    <row r="203" spans="2:8" x14ac:dyDescent="0.25">
      <c r="C203" s="36" t="s">
        <v>389</v>
      </c>
      <c r="D203" s="36" t="s">
        <v>677</v>
      </c>
      <c r="E203" s="92">
        <f>+INDEX('2027 GSD Rate Class E-13c'!R:R,MATCH('2027 Base Rates'!D203,'2027 GSD Rate Class E-13c'!C:C,0))</f>
        <v>-1.1240986966964326E-3</v>
      </c>
      <c r="F203" s="56"/>
      <c r="G203" s="92">
        <f t="shared" si="27"/>
        <v>-1.1199999999999999E-3</v>
      </c>
      <c r="H203" s="111"/>
    </row>
    <row r="204" spans="2:8" x14ac:dyDescent="0.25">
      <c r="C204" s="36" t="s">
        <v>446</v>
      </c>
      <c r="D204" s="36" t="s">
        <v>678</v>
      </c>
      <c r="E204" s="92">
        <f>+INDEX('2027 GSD Rate Class E-13c'!R:R,MATCH('2027 Base Rates'!D204,'2027 GSD Rate Class E-13c'!C:C,0))</f>
        <v>-1.1240986966964326E-3</v>
      </c>
      <c r="F204" s="56"/>
      <c r="G204" s="92">
        <f t="shared" si="27"/>
        <v>-1.1199999999999999E-3</v>
      </c>
      <c r="H204" s="111"/>
    </row>
    <row r="205" spans="2:8" x14ac:dyDescent="0.25">
      <c r="C205" s="36"/>
      <c r="D205" s="36"/>
      <c r="E205" s="56"/>
      <c r="F205" s="56"/>
      <c r="G205" s="56"/>
    </row>
    <row r="206" spans="2:8" x14ac:dyDescent="0.25">
      <c r="B206" s="88" t="s">
        <v>447</v>
      </c>
      <c r="C206" s="89"/>
      <c r="D206" s="89"/>
      <c r="E206" s="56"/>
      <c r="F206" s="56"/>
      <c r="G206" s="56"/>
    </row>
    <row r="207" spans="2:8" x14ac:dyDescent="0.25">
      <c r="B207" s="37" t="s">
        <v>348</v>
      </c>
      <c r="C207" s="89"/>
      <c r="D207" s="89"/>
      <c r="E207" s="56"/>
      <c r="F207" s="56"/>
      <c r="G207" s="56"/>
    </row>
    <row r="208" spans="2:8" x14ac:dyDescent="0.25">
      <c r="C208" s="36" t="s">
        <v>387</v>
      </c>
      <c r="D208" s="36" t="s">
        <v>680</v>
      </c>
      <c r="E208" s="56">
        <f>+INDEX('2027 GSLDPR Rate Class E-13c'!Q:Q,MATCH('2027 Base Rates'!D208,'2027 GSLDPR Rate Class E-13c'!B:B,0))</f>
        <v>23.601534796527087</v>
      </c>
      <c r="F208" s="56"/>
      <c r="G208" s="56">
        <f t="shared" ref="G208:G209" si="28">+ROUND(E208,2)</f>
        <v>23.6</v>
      </c>
      <c r="H208" s="109"/>
    </row>
    <row r="209" spans="2:8" x14ac:dyDescent="0.25">
      <c r="C209" s="57" t="s">
        <v>398</v>
      </c>
      <c r="D209" s="57" t="s">
        <v>681</v>
      </c>
      <c r="E209" s="56">
        <f>+INDEX('2027 GSLDPR Rate Class E-13c'!Q:Q,MATCH('2027 Base Rates'!D209,'2027 GSLDPR Rate Class E-13c'!B:B,0))</f>
        <v>23.601534796527087</v>
      </c>
      <c r="F209" s="56"/>
      <c r="G209" s="56">
        <f t="shared" si="28"/>
        <v>23.6</v>
      </c>
      <c r="H209" s="109"/>
    </row>
    <row r="210" spans="2:8" x14ac:dyDescent="0.25">
      <c r="B210" s="37" t="s">
        <v>342</v>
      </c>
      <c r="C210" s="89"/>
      <c r="D210" s="89"/>
      <c r="E210" s="56"/>
      <c r="F210" s="56"/>
      <c r="G210" s="56"/>
    </row>
    <row r="211" spans="2:8" x14ac:dyDescent="0.25">
      <c r="C211" s="36" t="s">
        <v>387</v>
      </c>
      <c r="D211" s="36" t="s">
        <v>682</v>
      </c>
      <c r="E211" s="92">
        <f>+INDEX('2027 GSLDPR Rate Class E-13c'!Q:Q,MATCH('2027 Base Rates'!D211,'2027 GSLDPR Rate Class E-13c'!B:B,0))</f>
        <v>1.1710856789514871E-2</v>
      </c>
      <c r="F211" s="56"/>
      <c r="G211" s="92">
        <f t="shared" ref="G211:G213" si="29">+ROUND(E211,5)</f>
        <v>1.171E-2</v>
      </c>
      <c r="H211" s="111"/>
    </row>
    <row r="212" spans="2:8" x14ac:dyDescent="0.25">
      <c r="C212" s="57" t="s">
        <v>374</v>
      </c>
      <c r="D212" s="57" t="s">
        <v>683</v>
      </c>
      <c r="E212" s="92">
        <f>+INDEX('2027 GSLDPR Rate Class E-13c'!Q:Q,MATCH('2027 Base Rates'!D212,'2027 GSLDPR Rate Class E-13c'!B:B,0))</f>
        <v>1.9094765532999772E-2</v>
      </c>
      <c r="F212" s="56"/>
      <c r="G212" s="92">
        <f t="shared" si="29"/>
        <v>1.9089999999999999E-2</v>
      </c>
      <c r="H212" s="111"/>
    </row>
    <row r="213" spans="2:8" x14ac:dyDescent="0.25">
      <c r="C213" s="57" t="s">
        <v>377</v>
      </c>
      <c r="D213" s="57" t="s">
        <v>684</v>
      </c>
      <c r="E213" s="92">
        <f>+INDEX('2027 GSLDPR Rate Class E-13c'!Q:Q,MATCH('2027 Base Rates'!D213,'2027 GSLDPR Rate Class E-13c'!B:B,0))</f>
        <v>1.163527017480704E-2</v>
      </c>
      <c r="F213" s="56"/>
      <c r="G213" s="92">
        <f t="shared" si="29"/>
        <v>1.1639999999999999E-2</v>
      </c>
      <c r="H213" s="111"/>
    </row>
    <row r="214" spans="2:8" x14ac:dyDescent="0.25">
      <c r="C214" s="57" t="s">
        <v>1250</v>
      </c>
      <c r="D214" s="57" t="s">
        <v>1243</v>
      </c>
      <c r="E214" s="92">
        <f>+INDEX('2027 GSLDPR Rate Class E-13c'!Q:Q,MATCH('2027 Base Rates'!D214,'2027 GSLDPR Rate Class E-13c'!B:B,0))</f>
        <v>7.0295551678283648E-3</v>
      </c>
      <c r="F214" s="56"/>
      <c r="G214" s="92">
        <f t="shared" ref="G214" si="30">+ROUND(E214,5)</f>
        <v>7.0299999999999998E-3</v>
      </c>
      <c r="H214" s="111"/>
    </row>
    <row r="215" spans="2:8" x14ac:dyDescent="0.25">
      <c r="B215" s="37" t="s">
        <v>448</v>
      </c>
      <c r="C215" s="89"/>
      <c r="D215" s="57"/>
      <c r="E215" s="56"/>
      <c r="F215" s="56"/>
      <c r="G215" s="56"/>
    </row>
    <row r="216" spans="2:8" x14ac:dyDescent="0.25">
      <c r="C216" s="36" t="s">
        <v>387</v>
      </c>
      <c r="D216" s="57" t="s">
        <v>685</v>
      </c>
      <c r="E216" s="56">
        <f>+INDEX('2027 GSLDPR Rate Class E-13c'!Q:Q,MATCH('2027 Base Rates'!D216,'2027 GSLDPR Rate Class E-13c'!B:B,0))</f>
        <v>14.322389443230447</v>
      </c>
      <c r="F216" s="56"/>
      <c r="G216" s="56">
        <f t="shared" ref="G216:G218" si="31">+ROUND(E216,2)</f>
        <v>14.32</v>
      </c>
      <c r="H216" s="109"/>
    </row>
    <row r="217" spans="2:8" x14ac:dyDescent="0.25">
      <c r="C217" s="57" t="s">
        <v>449</v>
      </c>
      <c r="D217" s="57" t="s">
        <v>686</v>
      </c>
      <c r="E217" s="56">
        <f>+INDEX('2027 GSLDPR Rate Class E-13c'!Q:Q,MATCH('2027 Base Rates'!D217,'2027 GSLDPR Rate Class E-13c'!B:B,0))</f>
        <v>3.2231241809999225</v>
      </c>
      <c r="F217" s="56"/>
      <c r="G217" s="56">
        <f t="shared" si="31"/>
        <v>3.22</v>
      </c>
      <c r="H217" s="109"/>
    </row>
    <row r="218" spans="2:8" x14ac:dyDescent="0.25">
      <c r="C218" s="57" t="s">
        <v>450</v>
      </c>
      <c r="D218" s="57" t="s">
        <v>687</v>
      </c>
      <c r="E218" s="56">
        <f>+INDEX('2027 GSLDPR Rate Class E-13c'!Q:Q,MATCH('2027 Base Rates'!D218,'2027 GSLDPR Rate Class E-13c'!B:B,0))</f>
        <v>11.093756033753275</v>
      </c>
      <c r="F218" s="56"/>
      <c r="G218" s="56">
        <f t="shared" si="31"/>
        <v>11.09</v>
      </c>
      <c r="H218" s="109"/>
    </row>
    <row r="219" spans="2:8" x14ac:dyDescent="0.25">
      <c r="C219" s="57"/>
      <c r="D219" s="57"/>
      <c r="E219" s="56"/>
      <c r="F219" s="56"/>
      <c r="G219" s="56"/>
    </row>
    <row r="220" spans="2:8" x14ac:dyDescent="0.25">
      <c r="B220" s="88" t="s">
        <v>444</v>
      </c>
      <c r="C220" s="57"/>
      <c r="D220" s="57"/>
      <c r="E220" s="56"/>
      <c r="F220" s="56"/>
      <c r="G220" s="56"/>
    </row>
    <row r="221" spans="2:8" x14ac:dyDescent="0.25">
      <c r="C221" s="57" t="s">
        <v>387</v>
      </c>
      <c r="D221" s="57" t="s">
        <v>688</v>
      </c>
      <c r="E221" s="92">
        <f>+INDEX('2027 GSLDPR Rate Class E-13c'!Q:Q,MATCH('2027 Base Rates'!D221,'2027 GSLDPR Rate Class E-13c'!B:B,0))</f>
        <v>2.236746761762371E-3</v>
      </c>
      <c r="F221" s="56"/>
      <c r="G221" s="92">
        <f t="shared" ref="G221:G222" si="32">+ROUND(E221,5)</f>
        <v>2.2399999999999998E-3</v>
      </c>
      <c r="H221" s="111"/>
    </row>
    <row r="222" spans="2:8" x14ac:dyDescent="0.25">
      <c r="C222" s="57" t="s">
        <v>389</v>
      </c>
      <c r="D222" s="57" t="s">
        <v>689</v>
      </c>
      <c r="E222" s="92">
        <f>+INDEX('2027 GSLDPR Rate Class E-13c'!Q:Q,MATCH('2027 Base Rates'!D222,'2027 GSLDPR Rate Class E-13c'!B:B,0))</f>
        <v>2.236746761762371E-3</v>
      </c>
      <c r="F222" s="56"/>
      <c r="G222" s="92">
        <f t="shared" si="32"/>
        <v>2.2399999999999998E-3</v>
      </c>
      <c r="H222" s="111"/>
    </row>
    <row r="223" spans="2:8" x14ac:dyDescent="0.25">
      <c r="C223" s="57"/>
      <c r="D223" s="57"/>
      <c r="E223" s="56"/>
      <c r="F223" s="56"/>
      <c r="G223" s="56"/>
    </row>
    <row r="224" spans="2:8" x14ac:dyDescent="0.25">
      <c r="B224" s="88" t="s">
        <v>445</v>
      </c>
      <c r="C224" s="57"/>
      <c r="D224" s="57"/>
      <c r="E224" s="56"/>
      <c r="F224" s="56"/>
      <c r="G224" s="56"/>
    </row>
    <row r="225" spans="2:8" x14ac:dyDescent="0.25">
      <c r="C225" s="57" t="s">
        <v>387</v>
      </c>
      <c r="D225" s="57" t="s">
        <v>690</v>
      </c>
      <c r="E225" s="92">
        <f>+INDEX('2027 GSLDPR Rate Class E-13c'!Q:Q,MATCH('2027 Base Rates'!D225,'2027 GSLDPR Rate Class E-13c'!B:B,0))</f>
        <v>-1.1238826093584327E-3</v>
      </c>
      <c r="F225" s="56"/>
      <c r="G225" s="92">
        <f t="shared" ref="G225:G226" si="33">+ROUND(E225,5)</f>
        <v>-1.1199999999999999E-3</v>
      </c>
      <c r="H225" s="111"/>
    </row>
    <row r="226" spans="2:8" x14ac:dyDescent="0.25">
      <c r="C226" s="57" t="s">
        <v>389</v>
      </c>
      <c r="D226" s="57" t="s">
        <v>691</v>
      </c>
      <c r="E226" s="92">
        <f>+INDEX('2027 GSLDPR Rate Class E-13c'!Q:Q,MATCH('2027 Base Rates'!D226,'2027 GSLDPR Rate Class E-13c'!B:B,0))</f>
        <v>-1.1238826093584327E-3</v>
      </c>
      <c r="F226" s="56"/>
      <c r="G226" s="92">
        <f t="shared" si="33"/>
        <v>-1.1199999999999999E-3</v>
      </c>
      <c r="H226" s="111"/>
    </row>
    <row r="227" spans="2:8" x14ac:dyDescent="0.25">
      <c r="C227" s="57"/>
      <c r="D227" s="57"/>
      <c r="E227" s="56"/>
      <c r="F227" s="56"/>
      <c r="G227" s="56"/>
    </row>
    <row r="228" spans="2:8" x14ac:dyDescent="0.25">
      <c r="B228" s="95" t="s">
        <v>451</v>
      </c>
      <c r="C228" s="57"/>
      <c r="D228" s="57"/>
      <c r="E228" s="56"/>
      <c r="F228" s="56"/>
      <c r="G228" s="56"/>
    </row>
    <row r="229" spans="2:8" x14ac:dyDescent="0.25">
      <c r="C229" s="36" t="s">
        <v>387</v>
      </c>
      <c r="D229" s="36" t="s">
        <v>692</v>
      </c>
      <c r="E229" s="56">
        <f>+INDEX('2027 GSLDPR Rate Class E-13c'!Q:Q,MATCH('2027 Base Rates'!D229,'2027 GSLDPR Rate Class E-13c'!B:B,0))</f>
        <v>1.1238826093584326</v>
      </c>
      <c r="F229" s="56"/>
      <c r="G229" s="56">
        <f t="shared" ref="G229:G230" si="34">+ROUND(E229,2)</f>
        <v>1.1200000000000001</v>
      </c>
      <c r="H229" s="109"/>
    </row>
    <row r="230" spans="2:8" x14ac:dyDescent="0.25">
      <c r="C230" s="57" t="s">
        <v>398</v>
      </c>
      <c r="D230" s="36" t="s">
        <v>693</v>
      </c>
      <c r="E230" s="56">
        <f>+INDEX('2027 GSLDPR Rate Class E-13c'!Q:Q,MATCH('2027 Base Rates'!D230,'2027 GSLDPR Rate Class E-13c'!B:B,0))</f>
        <v>1.1238826093584326</v>
      </c>
      <c r="F230" s="56"/>
      <c r="G230" s="56">
        <f t="shared" si="34"/>
        <v>1.1200000000000001</v>
      </c>
      <c r="H230" s="109"/>
    </row>
    <row r="231" spans="2:8" x14ac:dyDescent="0.25">
      <c r="B231" s="37" t="s">
        <v>386</v>
      </c>
      <c r="C231" s="89"/>
      <c r="D231" s="89"/>
      <c r="E231" s="56"/>
      <c r="F231" s="56"/>
      <c r="G231" s="56"/>
    </row>
    <row r="232" spans="2:8" x14ac:dyDescent="0.25">
      <c r="C232" s="36" t="s">
        <v>387</v>
      </c>
      <c r="D232" s="36" t="s">
        <v>694</v>
      </c>
      <c r="E232" s="54">
        <v>-0.01</v>
      </c>
      <c r="F232" s="54"/>
      <c r="G232" s="54">
        <f>+E232</f>
        <v>-0.01</v>
      </c>
      <c r="H232" s="110"/>
    </row>
    <row r="233" spans="2:8" x14ac:dyDescent="0.25">
      <c r="C233" s="57" t="s">
        <v>398</v>
      </c>
      <c r="D233" s="36" t="s">
        <v>695</v>
      </c>
      <c r="E233" s="54">
        <v>-0.01</v>
      </c>
      <c r="F233" s="54"/>
      <c r="G233" s="54">
        <f>+E233</f>
        <v>-0.01</v>
      </c>
      <c r="H233" s="110"/>
    </row>
    <row r="234" spans="2:8" x14ac:dyDescent="0.25">
      <c r="B234" s="88" t="s">
        <v>452</v>
      </c>
      <c r="C234" s="57"/>
      <c r="D234" s="57"/>
      <c r="E234" s="56"/>
      <c r="F234" s="56"/>
      <c r="G234" s="56"/>
    </row>
    <row r="235" spans="2:8" x14ac:dyDescent="0.25">
      <c r="B235" s="88" t="s">
        <v>348</v>
      </c>
      <c r="C235" s="57"/>
      <c r="D235" s="57"/>
      <c r="E235" s="56"/>
      <c r="F235" s="56"/>
      <c r="G235" s="56"/>
    </row>
    <row r="236" spans="2:8" x14ac:dyDescent="0.25">
      <c r="C236" s="57" t="s">
        <v>453</v>
      </c>
      <c r="D236" s="36" t="s">
        <v>701</v>
      </c>
      <c r="E236" s="56">
        <f>+INDEX('2027 GSLDSU Rate Class E-13c'!Q:Q,MATCH('2027 Base Rates'!D236,'2027 GSLDSU Rate Class E-13c'!B:B,0))</f>
        <v>140.61754628085006</v>
      </c>
      <c r="F236" s="56"/>
      <c r="G236" s="56">
        <f t="shared" ref="G236:G237" si="35">+ROUND(E236,2)</f>
        <v>140.62</v>
      </c>
      <c r="H236" s="109"/>
    </row>
    <row r="237" spans="2:8" x14ac:dyDescent="0.25">
      <c r="C237" s="57" t="s">
        <v>399</v>
      </c>
      <c r="D237" s="57" t="s">
        <v>702</v>
      </c>
      <c r="E237" s="56">
        <f>+INDEX('2027 GSLDSU Rate Class E-13c'!Q:Q,MATCH('2027 Base Rates'!D237,'2027 GSLDSU Rate Class E-13c'!B:B,0))</f>
        <v>140.61754628085006</v>
      </c>
      <c r="F237" s="56"/>
      <c r="G237" s="56">
        <f t="shared" si="35"/>
        <v>140.62</v>
      </c>
      <c r="H237" s="109"/>
    </row>
    <row r="238" spans="2:8" x14ac:dyDescent="0.25">
      <c r="C238" s="57"/>
      <c r="D238" s="89"/>
      <c r="E238" s="56"/>
      <c r="F238" s="56"/>
      <c r="G238" s="56"/>
    </row>
    <row r="239" spans="2:8" x14ac:dyDescent="0.25">
      <c r="B239" s="88" t="s">
        <v>342</v>
      </c>
      <c r="C239" s="57" t="s">
        <v>453</v>
      </c>
      <c r="D239" s="36" t="s">
        <v>696</v>
      </c>
      <c r="E239" s="92">
        <f>+INDEX('2027 GSLDSU Rate Class E-13c'!Q:Q,MATCH('2027 Base Rates'!D239,'2027 GSLDSU Rate Class E-13c'!B:B,0))</f>
        <v>1.2809066269154601E-2</v>
      </c>
      <c r="F239" s="56"/>
      <c r="G239" s="92">
        <f t="shared" ref="G239:G241" si="36">+ROUND(E239,5)</f>
        <v>1.281E-2</v>
      </c>
      <c r="H239" s="111"/>
    </row>
    <row r="240" spans="2:8" x14ac:dyDescent="0.25">
      <c r="C240" s="57" t="s">
        <v>454</v>
      </c>
      <c r="D240" s="57" t="s">
        <v>703</v>
      </c>
      <c r="E240" s="92">
        <f>+INDEX('2027 GSLDSU Rate Class E-13c'!Q:Q,MATCH('2027 Base Rates'!D240,'2027 GSLDSU Rate Class E-13c'!B:B,0))</f>
        <v>2.3080802295592218E-2</v>
      </c>
      <c r="F240" s="56"/>
      <c r="G240" s="92">
        <f t="shared" si="36"/>
        <v>2.308E-2</v>
      </c>
      <c r="H240" s="111"/>
    </row>
    <row r="241" spans="2:8" x14ac:dyDescent="0.25">
      <c r="C241" s="57" t="s">
        <v>455</v>
      </c>
      <c r="D241" s="57" t="s">
        <v>704</v>
      </c>
      <c r="E241" s="92">
        <f>+INDEX('2027 GSLDSU Rate Class E-13c'!Q:Q,MATCH('2027 Base Rates'!D241,'2027 GSLDSU Rate Class E-13c'!B:B,0))</f>
        <v>1.1269016555655589E-2</v>
      </c>
      <c r="F241" s="56"/>
      <c r="G241" s="92">
        <f t="shared" si="36"/>
        <v>1.1270000000000001E-2</v>
      </c>
      <c r="H241" s="111"/>
    </row>
    <row r="242" spans="2:8" x14ac:dyDescent="0.25">
      <c r="C242" s="57" t="s">
        <v>1255</v>
      </c>
      <c r="D242" s="57" t="s">
        <v>1246</v>
      </c>
      <c r="E242" s="92">
        <f>+INDEX('2027 GSLDSU Rate Class E-13c'!Q:Q,MATCH('2027 Base Rates'!D242,'2027 GSLDSU Rate Class E-13c'!B:B,0))</f>
        <v>7.9194056741810209E-3</v>
      </c>
      <c r="F242" s="56"/>
      <c r="G242" s="92">
        <f t="shared" ref="G242" si="37">+ROUND(E242,5)</f>
        <v>7.92E-3</v>
      </c>
    </row>
    <row r="243" spans="2:8" x14ac:dyDescent="0.25">
      <c r="C243" s="57"/>
      <c r="D243" s="57"/>
      <c r="E243" s="56"/>
      <c r="F243" s="56"/>
      <c r="G243" s="56"/>
    </row>
    <row r="244" spans="2:8" x14ac:dyDescent="0.25">
      <c r="B244" s="88" t="s">
        <v>448</v>
      </c>
      <c r="C244" s="57" t="s">
        <v>453</v>
      </c>
      <c r="D244" s="57" t="s">
        <v>697</v>
      </c>
      <c r="E244" s="56">
        <f>+INDEX('2027 GSLDSU Rate Class E-13c'!Q:Q,MATCH('2027 Base Rates'!D244,'2027 GSLDSU Rate Class E-13c'!B:B,0))</f>
        <v>14.072277164956549</v>
      </c>
      <c r="F244" s="56"/>
      <c r="G244" s="56">
        <f t="shared" ref="G244:G246" si="38">+ROUND(E244,2)</f>
        <v>14.07</v>
      </c>
      <c r="H244" s="109"/>
    </row>
    <row r="245" spans="2:8" x14ac:dyDescent="0.25">
      <c r="C245" s="57" t="s">
        <v>456</v>
      </c>
      <c r="D245" s="57" t="s">
        <v>705</v>
      </c>
      <c r="E245" s="56">
        <f>+INDEX('2027 GSLDSU Rate Class E-13c'!Q:Q,MATCH('2027 Base Rates'!D245,'2027 GSLDSU Rate Class E-13c'!B:B,0))</f>
        <v>1.7093931770928814</v>
      </c>
      <c r="F245" s="56"/>
      <c r="G245" s="56">
        <f t="shared" si="38"/>
        <v>1.71</v>
      </c>
      <c r="H245" s="109"/>
    </row>
    <row r="246" spans="2:8" x14ac:dyDescent="0.25">
      <c r="C246" s="57" t="s">
        <v>457</v>
      </c>
      <c r="D246" s="57" t="s">
        <v>706</v>
      </c>
      <c r="E246" s="56">
        <f>+INDEX('2027 GSLDSU Rate Class E-13c'!Q:Q,MATCH('2027 Base Rates'!D246,'2027 GSLDSU Rate Class E-13c'!B:B,0))</f>
        <v>12.362883987863668</v>
      </c>
      <c r="F246" s="56"/>
      <c r="G246" s="56">
        <f t="shared" si="38"/>
        <v>12.36</v>
      </c>
      <c r="H246" s="109"/>
    </row>
    <row r="247" spans="2:8" x14ac:dyDescent="0.25">
      <c r="C247" s="57"/>
      <c r="D247" s="57"/>
      <c r="E247" s="56"/>
      <c r="F247" s="56"/>
      <c r="G247" s="56"/>
    </row>
    <row r="248" spans="2:8" x14ac:dyDescent="0.25">
      <c r="B248" s="88" t="s">
        <v>444</v>
      </c>
      <c r="C248" s="57"/>
      <c r="D248" s="57"/>
      <c r="E248" s="56"/>
      <c r="F248" s="56"/>
      <c r="G248" s="56"/>
    </row>
    <row r="249" spans="2:8" x14ac:dyDescent="0.25">
      <c r="C249" s="57" t="s">
        <v>365</v>
      </c>
      <c r="D249" s="57" t="s">
        <v>698</v>
      </c>
      <c r="E249" s="92">
        <f>+INDEX('2027 GSLDSU Rate Class E-13c'!Q:Q,MATCH('2027 Base Rates'!D249,'2027 GSLDSU Rate Class E-13c'!B:B,0))</f>
        <v>2.2367467399320301E-3</v>
      </c>
      <c r="F249" s="56"/>
      <c r="G249" s="92">
        <f t="shared" ref="G249:G250" si="39">+ROUND(E249,5)</f>
        <v>2.2399999999999998E-3</v>
      </c>
      <c r="H249" s="111"/>
    </row>
    <row r="250" spans="2:8" x14ac:dyDescent="0.25">
      <c r="C250" s="57" t="s">
        <v>372</v>
      </c>
      <c r="D250" s="57" t="s">
        <v>707</v>
      </c>
      <c r="E250" s="92">
        <f>+INDEX('2027 GSLDSU Rate Class E-13c'!Q:Q,MATCH('2027 Base Rates'!D250,'2027 GSLDSU Rate Class E-13c'!B:B,0))</f>
        <v>2.2367467399320301E-3</v>
      </c>
      <c r="F250" s="56"/>
      <c r="G250" s="92">
        <f t="shared" si="39"/>
        <v>2.2399999999999998E-3</v>
      </c>
      <c r="H250" s="111"/>
    </row>
    <row r="251" spans="2:8" x14ac:dyDescent="0.25">
      <c r="B251" s="88" t="s">
        <v>445</v>
      </c>
      <c r="C251" s="57"/>
      <c r="D251" s="57"/>
      <c r="E251" s="56"/>
      <c r="F251" s="56"/>
      <c r="G251" s="56"/>
    </row>
    <row r="252" spans="2:8" x14ac:dyDescent="0.25">
      <c r="C252" s="57" t="s">
        <v>365</v>
      </c>
      <c r="D252" s="57" t="s">
        <v>699</v>
      </c>
      <c r="E252" s="92">
        <f>+INDEX('2027 GSLDSU Rate Class E-13c'!Q:Q,MATCH('2027 Base Rates'!D252,'2027 GSLDSU Rate Class E-13c'!B:B,0))</f>
        <v>-1.1238825983894928E-3</v>
      </c>
      <c r="F252" s="56"/>
      <c r="G252" s="92">
        <f t="shared" ref="G252:G253" si="40">+ROUND(E252,5)</f>
        <v>-1.1199999999999999E-3</v>
      </c>
      <c r="H252" s="111"/>
    </row>
    <row r="253" spans="2:8" x14ac:dyDescent="0.25">
      <c r="C253" s="57" t="s">
        <v>372</v>
      </c>
      <c r="D253" s="57" t="s">
        <v>708</v>
      </c>
      <c r="E253" s="92">
        <f>+INDEX('2027 GSLDSU Rate Class E-13c'!Q:Q,MATCH('2027 Base Rates'!D253,'2027 GSLDSU Rate Class E-13c'!B:B,0))</f>
        <v>-1.1238825983894928E-3</v>
      </c>
      <c r="F253" s="56"/>
      <c r="G253" s="92">
        <f t="shared" si="40"/>
        <v>-1.1199999999999999E-3</v>
      </c>
      <c r="H253" s="111"/>
    </row>
    <row r="254" spans="2:8" x14ac:dyDescent="0.25">
      <c r="C254" s="57"/>
      <c r="E254" s="56"/>
      <c r="F254" s="56"/>
      <c r="G254" s="56"/>
    </row>
    <row r="255" spans="2:8" x14ac:dyDescent="0.25">
      <c r="B255" s="88" t="s">
        <v>451</v>
      </c>
      <c r="C255" s="57" t="s">
        <v>453</v>
      </c>
      <c r="D255" s="36" t="s">
        <v>700</v>
      </c>
      <c r="E255" s="56">
        <f>+INDEX('2027 GSLDSU Rate Class E-13c'!Q:Q,MATCH('2027 Base Rates'!D255,'2027 GSLDSU Rate Class E-13c'!B:B,0))</f>
        <v>1.1238825983894927</v>
      </c>
      <c r="F255" s="56"/>
      <c r="G255" s="56">
        <f t="shared" ref="G255:G256" si="41">+ROUND(E255,2)</f>
        <v>1.1200000000000001</v>
      </c>
      <c r="H255" s="109"/>
    </row>
    <row r="256" spans="2:8" x14ac:dyDescent="0.25">
      <c r="C256" s="57" t="s">
        <v>399</v>
      </c>
      <c r="D256" s="36" t="s">
        <v>709</v>
      </c>
      <c r="E256" s="56">
        <f>+INDEX('2027 GSLDSU Rate Class E-13c'!Q:Q,MATCH('2027 Base Rates'!D256,'2027 GSLDSU Rate Class E-13c'!B:B,0))</f>
        <v>1.1238825983894927</v>
      </c>
      <c r="F256" s="56"/>
      <c r="G256" s="56">
        <f t="shared" si="41"/>
        <v>1.1200000000000001</v>
      </c>
      <c r="H256" s="109"/>
    </row>
    <row r="257" spans="2:8" x14ac:dyDescent="0.25">
      <c r="C257" s="57"/>
      <c r="E257" s="56"/>
      <c r="F257" s="56"/>
      <c r="G257" s="56"/>
    </row>
    <row r="258" spans="2:8" x14ac:dyDescent="0.25">
      <c r="B258" s="88" t="s">
        <v>458</v>
      </c>
      <c r="C258" s="89"/>
      <c r="E258" s="56"/>
      <c r="F258" s="56"/>
      <c r="G258" s="56"/>
    </row>
    <row r="259" spans="2:8" x14ac:dyDescent="0.25">
      <c r="B259" s="37" t="s">
        <v>348</v>
      </c>
      <c r="C259" s="89"/>
      <c r="D259" s="89"/>
      <c r="E259" s="56"/>
      <c r="F259" s="56"/>
      <c r="G259" s="56"/>
    </row>
    <row r="260" spans="2:8" x14ac:dyDescent="0.25">
      <c r="B260" s="31"/>
      <c r="C260" s="36" t="s">
        <v>459</v>
      </c>
      <c r="D260" s="36" t="s">
        <v>620</v>
      </c>
      <c r="E260" s="56">
        <f>+INDEX('2027 GSLDPR Rate Class E-13c'!Q:Q,MATCH('2027 Base Rates'!D260,'2027 GSLDPR Rate Class E-13c'!B:B,0))</f>
        <v>24.505048266795626</v>
      </c>
      <c r="F260" s="56"/>
      <c r="G260" s="56">
        <f t="shared" ref="G260:G261" si="42">+ROUND(E260,2)</f>
        <v>24.51</v>
      </c>
      <c r="H260" s="109"/>
    </row>
    <row r="261" spans="2:8" x14ac:dyDescent="0.25">
      <c r="C261" s="57" t="s">
        <v>389</v>
      </c>
      <c r="D261" s="36" t="s">
        <v>621</v>
      </c>
      <c r="E261" s="56">
        <f>+INDEX('2027 GSLDPR Rate Class E-13c'!Q:Q,MATCH('2027 Base Rates'!D261,'2027 GSLDPR Rate Class E-13c'!B:B,0))</f>
        <v>24.505048266795626</v>
      </c>
      <c r="F261" s="56"/>
      <c r="G261" s="56">
        <f t="shared" si="42"/>
        <v>24.51</v>
      </c>
      <c r="H261" s="109"/>
    </row>
    <row r="262" spans="2:8" x14ac:dyDescent="0.25">
      <c r="B262" s="37" t="s">
        <v>400</v>
      </c>
      <c r="C262" s="89"/>
      <c r="D262" s="36"/>
      <c r="E262" s="56"/>
      <c r="F262" s="56"/>
      <c r="G262" s="56"/>
    </row>
    <row r="263" spans="2:8" x14ac:dyDescent="0.25">
      <c r="B263" s="31"/>
      <c r="C263" s="36" t="s">
        <v>387</v>
      </c>
      <c r="D263" s="36" t="s">
        <v>611</v>
      </c>
      <c r="E263" s="92">
        <f>+INDEX('2027 GSLDPR Rate Class E-13c'!Q:Q,MATCH('2027 Base Rates'!D263,'2027 GSLDPR Rate Class E-13c'!B:B,0))</f>
        <v>1.1710856789514871E-2</v>
      </c>
      <c r="F263" s="56"/>
      <c r="G263" s="92">
        <f t="shared" ref="G263:G265" si="43">+ROUND(E263,5)</f>
        <v>1.171E-2</v>
      </c>
      <c r="H263" s="111"/>
    </row>
    <row r="264" spans="2:8" x14ac:dyDescent="0.25">
      <c r="C264" s="57" t="s">
        <v>402</v>
      </c>
      <c r="D264" s="36" t="s">
        <v>622</v>
      </c>
      <c r="E264" s="92">
        <f>+INDEX('2027 GSLDPR Rate Class E-13c'!Q:Q,MATCH('2027 Base Rates'!D264,'2027 GSLDPR Rate Class E-13c'!B:B,0))</f>
        <v>1.9004854924251097E-2</v>
      </c>
      <c r="F264" s="56"/>
      <c r="G264" s="92">
        <f t="shared" si="43"/>
        <v>1.9E-2</v>
      </c>
      <c r="H264" s="111"/>
    </row>
    <row r="265" spans="2:8" x14ac:dyDescent="0.25">
      <c r="C265" s="57" t="s">
        <v>405</v>
      </c>
      <c r="D265" s="36" t="s">
        <v>623</v>
      </c>
      <c r="E265" s="92">
        <f>+INDEX('2027 GSLDPR Rate Class E-13c'!Q:Q,MATCH('2027 Base Rates'!D265,'2027 GSLDPR Rate Class E-13c'!B:B,0))</f>
        <v>1.1545359566058363E-2</v>
      </c>
      <c r="F265" s="56"/>
      <c r="G265" s="92">
        <f t="shared" si="43"/>
        <v>1.155E-2</v>
      </c>
      <c r="H265" s="111"/>
    </row>
    <row r="266" spans="2:8" x14ac:dyDescent="0.25">
      <c r="C266" s="57" t="s">
        <v>1253</v>
      </c>
      <c r="D266" s="36" t="s">
        <v>1244</v>
      </c>
      <c r="E266" s="92">
        <f>+INDEX('2027 GSLDPR Rate Class E-13c'!Q:Q,MATCH('2027 Base Rates'!D266,'2027 GSLDPR Rate Class E-13c'!B:B,0))</f>
        <v>6.9396445590796888E-3</v>
      </c>
      <c r="F266" s="56"/>
      <c r="G266" s="92">
        <f t="shared" ref="G266" si="44">+ROUND(E266,5)</f>
        <v>6.94E-3</v>
      </c>
      <c r="H266" s="111"/>
    </row>
    <row r="267" spans="2:8" x14ac:dyDescent="0.25">
      <c r="B267" s="37" t="s">
        <v>407</v>
      </c>
      <c r="C267" s="89"/>
      <c r="D267" s="36"/>
      <c r="E267" s="56"/>
      <c r="F267" s="56"/>
      <c r="G267" s="56"/>
    </row>
    <row r="268" spans="2:8" x14ac:dyDescent="0.25">
      <c r="B268" s="37"/>
      <c r="C268" s="57" t="s">
        <v>460</v>
      </c>
      <c r="D268" s="36" t="s">
        <v>612</v>
      </c>
      <c r="E268" s="92">
        <f>+INDEX('2027 GSLDPR Rate Class E-13c'!Q:Q,MATCH('2027 Base Rates'!D268,'2027 GSLDPR Rate Class E-13c'!B:B,0))</f>
        <v>9.6316739622017665E-3</v>
      </c>
      <c r="F268" s="56"/>
      <c r="G268" s="92">
        <f t="shared" ref="G268:G270" si="45">+ROUND(E268,5)</f>
        <v>9.6299999999999997E-3</v>
      </c>
      <c r="H268" s="111"/>
    </row>
    <row r="269" spans="2:8" x14ac:dyDescent="0.25">
      <c r="C269" s="57" t="s">
        <v>402</v>
      </c>
      <c r="D269" s="36" t="s">
        <v>624</v>
      </c>
      <c r="E269" s="92">
        <f>+INDEX('2027 GSLDPR Rate Class E-13c'!Q:Q,MATCH('2027 Base Rates'!D269,'2027 GSLDPR Rate Class E-13c'!B:B,0))</f>
        <v>9.6316739622017665E-3</v>
      </c>
      <c r="F269" s="56"/>
      <c r="G269" s="92">
        <f t="shared" si="45"/>
        <v>9.6299999999999997E-3</v>
      </c>
      <c r="H269" s="111"/>
    </row>
    <row r="270" spans="2:8" x14ac:dyDescent="0.25">
      <c r="C270" s="57" t="s">
        <v>405</v>
      </c>
      <c r="D270" s="36" t="s">
        <v>625</v>
      </c>
      <c r="E270" s="92">
        <f>+INDEX('2027 GSLDPR Rate Class E-13c'!Q:Q,MATCH('2027 Base Rates'!D270,'2027 GSLDPR Rate Class E-13c'!B:B,0))</f>
        <v>9.6316739622017665E-3</v>
      </c>
      <c r="F270" s="56"/>
      <c r="G270" s="92">
        <f t="shared" si="45"/>
        <v>9.6299999999999997E-3</v>
      </c>
      <c r="H270" s="111"/>
    </row>
    <row r="271" spans="2:8" x14ac:dyDescent="0.25">
      <c r="C271" s="57" t="s">
        <v>1253</v>
      </c>
      <c r="D271" s="36" t="s">
        <v>1245</v>
      </c>
      <c r="E271" s="92">
        <f>+INDEX('2027 GSLDPR Rate Class E-13c'!Q:Q,MATCH('2027 Base Rates'!D271,'2027 GSLDPR Rate Class E-13c'!B:B,0))</f>
        <v>9.6316739622017665E-3</v>
      </c>
      <c r="F271" s="56"/>
      <c r="G271" s="92">
        <f t="shared" ref="G271" si="46">+ROUND(E271,5)</f>
        <v>9.6299999999999997E-3</v>
      </c>
      <c r="H271" s="111"/>
    </row>
    <row r="272" spans="2:8" x14ac:dyDescent="0.25">
      <c r="B272" s="37" t="s">
        <v>411</v>
      </c>
      <c r="C272" s="89"/>
      <c r="D272" s="36"/>
      <c r="E272" s="56"/>
      <c r="F272" s="56"/>
      <c r="G272" s="56"/>
    </row>
    <row r="273" spans="2:8" x14ac:dyDescent="0.25">
      <c r="B273" s="31"/>
      <c r="C273" s="36" t="s">
        <v>387</v>
      </c>
      <c r="D273" s="36" t="s">
        <v>613</v>
      </c>
      <c r="E273" s="56">
        <f>+INDEX('2027 GSLDPR Rate Class E-13c'!Q:Q,MATCH('2027 Base Rates'!D273,'2027 GSLDPR Rate Class E-13c'!B:B,0))</f>
        <v>14.322389443230447</v>
      </c>
      <c r="F273" s="56"/>
      <c r="G273" s="56">
        <f t="shared" ref="G273:G275" si="47">+ROUND(E273,2)</f>
        <v>14.32</v>
      </c>
      <c r="H273" s="109"/>
    </row>
    <row r="274" spans="2:8" x14ac:dyDescent="0.25">
      <c r="C274" s="57" t="s">
        <v>461</v>
      </c>
      <c r="D274" s="36" t="s">
        <v>626</v>
      </c>
      <c r="E274" s="56">
        <f>+INDEX('2027 GSLDPR Rate Class E-13c'!Q:Q,MATCH('2027 Base Rates'!D274,'2027 GSLDPR Rate Class E-13c'!B:B,0))</f>
        <v>3.2231241809999225</v>
      </c>
      <c r="F274" s="56"/>
      <c r="G274" s="56">
        <f t="shared" si="47"/>
        <v>3.22</v>
      </c>
      <c r="H274" s="109"/>
    </row>
    <row r="275" spans="2:8" x14ac:dyDescent="0.25">
      <c r="C275" s="57" t="s">
        <v>462</v>
      </c>
      <c r="D275" s="36" t="s">
        <v>627</v>
      </c>
      <c r="E275" s="56">
        <f>+INDEX('2027 GSLDPR Rate Class E-13c'!Q:Q,MATCH('2027 Base Rates'!D275,'2027 GSLDPR Rate Class E-13c'!B:B,0))</f>
        <v>11.093756033753275</v>
      </c>
      <c r="F275" s="56"/>
      <c r="G275" s="56">
        <f t="shared" si="47"/>
        <v>11.09</v>
      </c>
      <c r="H275" s="109"/>
    </row>
    <row r="276" spans="2:8" x14ac:dyDescent="0.25">
      <c r="B276" s="37" t="s">
        <v>418</v>
      </c>
      <c r="C276" s="89"/>
      <c r="D276" s="36"/>
      <c r="E276" s="56"/>
      <c r="F276" s="56"/>
      <c r="G276" s="56"/>
    </row>
    <row r="277" spans="2:8" x14ac:dyDescent="0.25">
      <c r="B277" s="37"/>
      <c r="C277" s="57" t="s">
        <v>463</v>
      </c>
      <c r="D277" s="36" t="s">
        <v>614</v>
      </c>
      <c r="E277" s="56">
        <f>+INDEX('2027 GSLDPR Rate Class E-13c'!Q:Q,MATCH('2027 Base Rates'!D277,'2027 GSLDPR Rate Class E-13c'!B:B,0))</f>
        <v>1.8809166608668104</v>
      </c>
      <c r="F277" s="56"/>
      <c r="G277" s="56">
        <f t="shared" ref="G277:G282" si="48">+ROUND(E277,2)</f>
        <v>1.88</v>
      </c>
      <c r="H277" s="109"/>
    </row>
    <row r="278" spans="2:8" x14ac:dyDescent="0.25">
      <c r="B278" s="37"/>
      <c r="C278" s="57" t="s">
        <v>464</v>
      </c>
      <c r="D278" s="36" t="s">
        <v>615</v>
      </c>
      <c r="E278" s="56">
        <f>+INDEX('2027 GSLDPR Rate Class E-13c'!Q:Q,MATCH('2027 Base Rates'!D278,'2027 GSLDPR Rate Class E-13c'!B:B,0))</f>
        <v>1.716564719626021</v>
      </c>
      <c r="F278" s="56"/>
      <c r="G278" s="56">
        <f t="shared" si="48"/>
        <v>1.72</v>
      </c>
      <c r="H278" s="109"/>
    </row>
    <row r="279" spans="2:8" x14ac:dyDescent="0.25">
      <c r="B279" s="37"/>
      <c r="C279" s="57" t="s">
        <v>465</v>
      </c>
      <c r="D279" s="36" t="s">
        <v>616</v>
      </c>
      <c r="E279" s="56">
        <f>+INDEX('2027 GSLDPR Rate Class E-13c'!Q:Q,MATCH('2027 Base Rates'!D279,'2027 GSLDPR Rate Class E-13c'!B:B,0))</f>
        <v>0.68479975516995528</v>
      </c>
      <c r="F279" s="56"/>
      <c r="G279" s="56">
        <f t="shared" si="48"/>
        <v>0.68</v>
      </c>
      <c r="H279" s="109"/>
    </row>
    <row r="280" spans="2:8" x14ac:dyDescent="0.25">
      <c r="C280" s="57" t="s">
        <v>466</v>
      </c>
      <c r="D280" s="36" t="s">
        <v>628</v>
      </c>
      <c r="E280" s="56">
        <f>+INDEX('2027 GSLDPR Rate Class E-13c'!Q:Q,MATCH('2027 Base Rates'!D280,'2027 GSLDPR Rate Class E-13c'!B:B,0))</f>
        <v>1.8809166608668104</v>
      </c>
      <c r="F280" s="56"/>
      <c r="G280" s="56">
        <f t="shared" si="48"/>
        <v>1.88</v>
      </c>
      <c r="H280" s="109"/>
    </row>
    <row r="281" spans="2:8" x14ac:dyDescent="0.25">
      <c r="C281" s="57" t="s">
        <v>467</v>
      </c>
      <c r="D281" s="36" t="s">
        <v>629</v>
      </c>
      <c r="E281" s="56">
        <f>+INDEX('2027 GSLDPR Rate Class E-13c'!Q:Q,MATCH('2027 Base Rates'!D281,'2027 GSLDPR Rate Class E-13c'!B:B,0))</f>
        <v>1.716564719626021</v>
      </c>
      <c r="F281" s="56"/>
      <c r="G281" s="56">
        <f t="shared" si="48"/>
        <v>1.72</v>
      </c>
      <c r="H281" s="109"/>
    </row>
    <row r="282" spans="2:8" x14ac:dyDescent="0.25">
      <c r="C282" s="57" t="s">
        <v>468</v>
      </c>
      <c r="D282" s="36" t="s">
        <v>630</v>
      </c>
      <c r="E282" s="56">
        <f>+INDEX('2027 GSLDPR Rate Class E-13c'!Q:Q,MATCH('2027 Base Rates'!D282,'2027 GSLDPR Rate Class E-13c'!B:B,0))</f>
        <v>0.68479975516995528</v>
      </c>
      <c r="F282" s="56"/>
      <c r="G282" s="56">
        <f t="shared" si="48"/>
        <v>0.68</v>
      </c>
      <c r="H282" s="109"/>
    </row>
    <row r="283" spans="2:8" x14ac:dyDescent="0.25">
      <c r="C283" s="57"/>
      <c r="D283" s="36"/>
      <c r="E283" s="56"/>
      <c r="F283" s="56"/>
      <c r="G283" s="56"/>
    </row>
    <row r="284" spans="2:8" x14ac:dyDescent="0.25">
      <c r="B284" s="88" t="s">
        <v>444</v>
      </c>
      <c r="C284" s="57"/>
      <c r="D284" s="36"/>
      <c r="E284" s="56"/>
      <c r="F284" s="56"/>
      <c r="G284" s="56"/>
    </row>
    <row r="285" spans="2:8" x14ac:dyDescent="0.25">
      <c r="C285" s="57" t="s">
        <v>387</v>
      </c>
      <c r="D285" s="36" t="s">
        <v>617</v>
      </c>
      <c r="E285" s="92">
        <f>+INDEX('2027 GSLDPR Rate Class E-13c'!Q:Q,MATCH('2027 Base Rates'!D285,'2027 GSLDPR Rate Class E-13c'!B:B,0))</f>
        <v>2.236746761762371E-3</v>
      </c>
      <c r="F285" s="56"/>
      <c r="G285" s="92">
        <f t="shared" ref="G285:G286" si="49">+ROUND(E285,5)</f>
        <v>2.2399999999999998E-3</v>
      </c>
      <c r="H285" s="111"/>
    </row>
    <row r="286" spans="2:8" x14ac:dyDescent="0.25">
      <c r="C286" s="57" t="s">
        <v>389</v>
      </c>
      <c r="D286" s="36" t="s">
        <v>918</v>
      </c>
      <c r="E286" s="92">
        <f>+INDEX('2027 GSLDPR Rate Class E-13c'!Q:Q,MATCH('2027 Base Rates'!D286,'2027 GSLDPR Rate Class E-13c'!B:B,0))</f>
        <v>2.236746761762371E-3</v>
      </c>
      <c r="F286" s="56"/>
      <c r="G286" s="92">
        <f t="shared" si="49"/>
        <v>2.2399999999999998E-3</v>
      </c>
      <c r="H286" s="111"/>
    </row>
    <row r="287" spans="2:8" x14ac:dyDescent="0.25">
      <c r="C287" s="57"/>
      <c r="D287" s="36"/>
      <c r="E287" s="56"/>
      <c r="F287" s="56"/>
      <c r="G287" s="56"/>
    </row>
    <row r="288" spans="2:8" x14ac:dyDescent="0.25">
      <c r="B288" s="88" t="s">
        <v>445</v>
      </c>
      <c r="C288" s="57"/>
      <c r="E288" s="56"/>
      <c r="F288" s="56"/>
      <c r="G288" s="56"/>
    </row>
    <row r="289" spans="2:8" x14ac:dyDescent="0.25">
      <c r="C289" s="57" t="s">
        <v>387</v>
      </c>
      <c r="D289" s="36" t="s">
        <v>618</v>
      </c>
      <c r="E289" s="92">
        <f>+INDEX('2027 GSLDPR Rate Class E-13c'!Q:Q,MATCH('2027 Base Rates'!D289,'2027 GSLDPR Rate Class E-13c'!B:B,0))</f>
        <v>-1.1238826093584327E-3</v>
      </c>
      <c r="F289" s="56"/>
      <c r="G289" s="92">
        <f t="shared" ref="G289:G290" si="50">+ROUND(E289,5)</f>
        <v>-1.1199999999999999E-3</v>
      </c>
      <c r="H289" s="111"/>
    </row>
    <row r="290" spans="2:8" x14ac:dyDescent="0.25">
      <c r="C290" s="57" t="s">
        <v>389</v>
      </c>
      <c r="D290" s="36" t="s">
        <v>917</v>
      </c>
      <c r="E290" s="92">
        <f>+INDEX('2027 GSLDPR Rate Class E-13c'!Q:Q,MATCH('2027 Base Rates'!D290,'2027 GSLDPR Rate Class E-13c'!B:B,0))</f>
        <v>-1.1238826093584327E-3</v>
      </c>
      <c r="F290" s="56"/>
      <c r="G290" s="92">
        <f t="shared" si="50"/>
        <v>-1.1199999999999999E-3</v>
      </c>
      <c r="H290" s="111"/>
    </row>
    <row r="291" spans="2:8" x14ac:dyDescent="0.25">
      <c r="C291" s="57"/>
      <c r="D291" s="36"/>
      <c r="E291" s="56"/>
      <c r="F291" s="56"/>
      <c r="G291" s="56"/>
    </row>
    <row r="292" spans="2:8" x14ac:dyDescent="0.25">
      <c r="B292" s="95" t="s">
        <v>451</v>
      </c>
      <c r="C292" s="57"/>
      <c r="D292" s="36"/>
      <c r="E292" s="56"/>
      <c r="F292" s="56"/>
      <c r="G292" s="56"/>
    </row>
    <row r="293" spans="2:8" x14ac:dyDescent="0.25">
      <c r="C293" s="36" t="s">
        <v>387</v>
      </c>
      <c r="D293" s="36" t="s">
        <v>619</v>
      </c>
      <c r="E293" s="56">
        <f>+INDEX('2027 GSLDPR Rate Class E-13c'!Q:Q,MATCH('2027 Base Rates'!D293,'2027 GSLDPR Rate Class E-13c'!B:B,0))</f>
        <v>1.1238826093584326</v>
      </c>
      <c r="F293" s="56"/>
      <c r="G293" s="56">
        <f t="shared" ref="G293:G294" si="51">+ROUND(E293,2)</f>
        <v>1.1200000000000001</v>
      </c>
      <c r="H293" s="109"/>
    </row>
    <row r="294" spans="2:8" x14ac:dyDescent="0.25">
      <c r="C294" s="57" t="s">
        <v>398</v>
      </c>
      <c r="D294" s="36" t="s">
        <v>631</v>
      </c>
      <c r="E294" s="56">
        <f>+INDEX('2027 GSLDPR Rate Class E-13c'!Q:Q,MATCH('2027 Base Rates'!D294,'2027 GSLDPR Rate Class E-13c'!B:B,0))</f>
        <v>1.1238826093584326</v>
      </c>
      <c r="F294" s="56"/>
      <c r="G294" s="56">
        <f t="shared" si="51"/>
        <v>1.1200000000000001</v>
      </c>
      <c r="H294" s="109"/>
    </row>
    <row r="295" spans="2:8" x14ac:dyDescent="0.25">
      <c r="C295" s="57"/>
      <c r="D295" s="57"/>
      <c r="E295" s="56"/>
      <c r="F295" s="56"/>
      <c r="G295" s="56"/>
    </row>
    <row r="296" spans="2:8" x14ac:dyDescent="0.25">
      <c r="B296" s="37" t="s">
        <v>437</v>
      </c>
      <c r="C296" s="89"/>
      <c r="D296" s="89"/>
      <c r="E296" s="56"/>
      <c r="F296" s="56"/>
      <c r="G296" s="56"/>
    </row>
    <row r="297" spans="2:8" x14ac:dyDescent="0.25">
      <c r="B297" s="31"/>
      <c r="C297" s="36" t="s">
        <v>387</v>
      </c>
      <c r="D297" s="36" t="s">
        <v>609</v>
      </c>
      <c r="E297" s="54">
        <v>-0.01</v>
      </c>
      <c r="F297" s="54"/>
      <c r="G297" s="54">
        <f>+E297</f>
        <v>-0.01</v>
      </c>
      <c r="H297" s="110"/>
    </row>
    <row r="298" spans="2:8" x14ac:dyDescent="0.25">
      <c r="B298" s="31"/>
      <c r="C298" s="36" t="s">
        <v>469</v>
      </c>
      <c r="D298" s="36" t="s">
        <v>610</v>
      </c>
      <c r="E298" s="54">
        <v>-0.01</v>
      </c>
      <c r="F298" s="54"/>
      <c r="G298" s="54">
        <f>+E298</f>
        <v>-0.01</v>
      </c>
      <c r="H298" s="110"/>
    </row>
    <row r="299" spans="2:8" x14ac:dyDescent="0.25">
      <c r="C299" s="89"/>
      <c r="D299" s="89"/>
      <c r="E299" s="56"/>
      <c r="F299" s="56"/>
      <c r="G299" s="56"/>
    </row>
    <row r="300" spans="2:8" x14ac:dyDescent="0.25">
      <c r="B300" s="88" t="s">
        <v>470</v>
      </c>
      <c r="C300" s="36"/>
      <c r="D300" s="36"/>
      <c r="E300" s="56"/>
      <c r="F300" s="56"/>
      <c r="G300" s="56"/>
    </row>
    <row r="301" spans="2:8" x14ac:dyDescent="0.25">
      <c r="B301" s="88" t="s">
        <v>348</v>
      </c>
      <c r="C301" s="36"/>
      <c r="D301" s="36"/>
      <c r="E301" s="56"/>
      <c r="F301" s="56"/>
      <c r="G301" s="56"/>
    </row>
    <row r="302" spans="2:8" x14ac:dyDescent="0.25">
      <c r="C302" s="36" t="s">
        <v>453</v>
      </c>
      <c r="D302" s="36" t="s">
        <v>559</v>
      </c>
      <c r="E302" s="56">
        <f>+INDEX('2027 GSLDSU Rate Class E-13c'!Q:Q,MATCH('2027 Base Rates'!D302,'2027 GSLDSU Rate Class E-13c'!B:B,0))</f>
        <v>141.52105974230042</v>
      </c>
      <c r="F302" s="56"/>
      <c r="G302" s="56">
        <f t="shared" ref="G302:G303" si="52">+ROUND(E302,2)</f>
        <v>141.52000000000001</v>
      </c>
      <c r="H302" s="109"/>
    </row>
    <row r="303" spans="2:8" x14ac:dyDescent="0.25">
      <c r="C303" s="36" t="s">
        <v>471</v>
      </c>
      <c r="D303" s="36" t="s">
        <v>560</v>
      </c>
      <c r="E303" s="56">
        <f>+INDEX('2027 GSLDSU Rate Class E-13c'!Q:Q,MATCH('2027 Base Rates'!D303,'2027 GSLDSU Rate Class E-13c'!B:B,0))</f>
        <v>141.52105974230042</v>
      </c>
      <c r="F303" s="56"/>
      <c r="G303" s="56">
        <f t="shared" si="52"/>
        <v>141.52000000000001</v>
      </c>
      <c r="H303" s="109"/>
    </row>
    <row r="304" spans="2:8" x14ac:dyDescent="0.25">
      <c r="B304" s="88" t="s">
        <v>400</v>
      </c>
      <c r="C304" s="36"/>
      <c r="D304" s="36"/>
      <c r="E304" s="56"/>
      <c r="F304" s="56"/>
      <c r="G304" s="56"/>
    </row>
    <row r="305" spans="2:8" x14ac:dyDescent="0.25">
      <c r="C305" s="36" t="s">
        <v>453</v>
      </c>
      <c r="D305" s="36" t="s">
        <v>561</v>
      </c>
      <c r="E305" s="92">
        <f>+INDEX('2027 GSLDSU Rate Class E-13c'!Q:Q,MATCH('2027 Base Rates'!D305,'2027 GSLDSU Rate Class E-13c'!B:B,0))</f>
        <v>1.2809066269154601E-2</v>
      </c>
      <c r="F305" s="56"/>
      <c r="G305" s="92">
        <f t="shared" ref="G305:G307" si="53">+ROUND(E305,5)</f>
        <v>1.281E-2</v>
      </c>
      <c r="H305" s="111"/>
    </row>
    <row r="306" spans="2:8" x14ac:dyDescent="0.25">
      <c r="C306" s="36" t="s">
        <v>403</v>
      </c>
      <c r="D306" s="36" t="s">
        <v>562</v>
      </c>
      <c r="E306" s="92">
        <f>+INDEX('2027 GSLDSU Rate Class E-13c'!Q:Q,MATCH('2027 Base Rates'!D306,'2027 GSLDSU Rate Class E-13c'!B:B,0))</f>
        <v>2.3058545012761368E-2</v>
      </c>
      <c r="F306" s="56"/>
      <c r="G306" s="92">
        <f t="shared" si="53"/>
        <v>2.3060000000000001E-2</v>
      </c>
      <c r="H306" s="111"/>
    </row>
    <row r="307" spans="2:8" x14ac:dyDescent="0.25">
      <c r="C307" s="36" t="s">
        <v>406</v>
      </c>
      <c r="D307" s="36" t="s">
        <v>563</v>
      </c>
      <c r="E307" s="92">
        <f>+INDEX('2027 GSLDSU Rate Class E-13c'!Q:Q,MATCH('2027 Base Rates'!D307,'2027 GSLDSU Rate Class E-13c'!B:B,0))</f>
        <v>1.1246759272824735E-2</v>
      </c>
      <c r="F307" s="56"/>
      <c r="G307" s="92">
        <f t="shared" si="53"/>
        <v>1.125E-2</v>
      </c>
      <c r="H307" s="111"/>
    </row>
    <row r="308" spans="2:8" x14ac:dyDescent="0.25">
      <c r="C308" s="36" t="s">
        <v>1254</v>
      </c>
      <c r="D308" s="36" t="s">
        <v>1247</v>
      </c>
      <c r="E308" s="92">
        <f>+INDEX('2027 GSLDSU Rate Class E-13c'!Q:Q,MATCH('2027 Base Rates'!D308,'2027 GSLDSU Rate Class E-13c'!B:B,0))</f>
        <v>7.897148391350169E-3</v>
      </c>
      <c r="F308" s="56"/>
      <c r="G308" s="92">
        <f t="shared" ref="G308" si="54">+ROUND(E308,5)</f>
        <v>7.9000000000000008E-3</v>
      </c>
      <c r="H308" s="111"/>
    </row>
    <row r="309" spans="2:8" x14ac:dyDescent="0.25">
      <c r="B309" s="88" t="s">
        <v>407</v>
      </c>
      <c r="C309" s="36"/>
      <c r="D309" s="36"/>
      <c r="E309" s="56"/>
      <c r="F309" s="56"/>
      <c r="G309" s="56"/>
      <c r="H309" s="96"/>
    </row>
    <row r="310" spans="2:8" x14ac:dyDescent="0.25">
      <c r="B310" s="88"/>
      <c r="C310" s="36" t="s">
        <v>472</v>
      </c>
      <c r="D310" s="36" t="s">
        <v>564</v>
      </c>
      <c r="E310" s="92">
        <f>+INDEX('2027 GSLDSU Rate Class E-13c'!Q:Q,MATCH('2027 Base Rates'!D310,'2027 GSLDSU Rate Class E-13c'!B:B,0))</f>
        <v>9.5372456930195408E-3</v>
      </c>
      <c r="F310" s="56"/>
      <c r="G310" s="92">
        <f t="shared" ref="G310:G312" si="55">+ROUND(E310,5)</f>
        <v>9.5399999999999999E-3</v>
      </c>
      <c r="H310" s="111"/>
    </row>
    <row r="311" spans="2:8" x14ac:dyDescent="0.25">
      <c r="C311" s="36" t="s">
        <v>403</v>
      </c>
      <c r="D311" s="36" t="s">
        <v>565</v>
      </c>
      <c r="E311" s="92">
        <f>+INDEX('2027 GSLDSU Rate Class E-13c'!Q:Q,MATCH('2027 Base Rates'!D311,'2027 GSLDSU Rate Class E-13c'!B:B,0))</f>
        <v>9.5372456930195408E-3</v>
      </c>
      <c r="F311" s="56"/>
      <c r="G311" s="92">
        <f t="shared" si="55"/>
        <v>9.5399999999999999E-3</v>
      </c>
      <c r="H311" s="111"/>
    </row>
    <row r="312" spans="2:8" x14ac:dyDescent="0.25">
      <c r="C312" s="36" t="s">
        <v>406</v>
      </c>
      <c r="D312" s="36" t="s">
        <v>566</v>
      </c>
      <c r="E312" s="92">
        <f>+INDEX('2027 GSLDSU Rate Class E-13c'!Q:Q,MATCH('2027 Base Rates'!D312,'2027 GSLDSU Rate Class E-13c'!B:B,0))</f>
        <v>9.5372456930195408E-3</v>
      </c>
      <c r="F312" s="56"/>
      <c r="G312" s="92">
        <f t="shared" si="55"/>
        <v>9.5399999999999999E-3</v>
      </c>
      <c r="H312" s="111"/>
    </row>
    <row r="313" spans="2:8" x14ac:dyDescent="0.25">
      <c r="C313" s="36" t="s">
        <v>1254</v>
      </c>
      <c r="D313" s="36" t="s">
        <v>1248</v>
      </c>
      <c r="E313" s="92">
        <f>+INDEX('2027 GSLDSU Rate Class E-13c'!Q:Q,MATCH('2027 Base Rates'!D313,'2027 GSLDSU Rate Class E-13c'!B:B,0))</f>
        <v>9.5372456930195408E-3</v>
      </c>
      <c r="F313" s="56"/>
      <c r="G313" s="92">
        <f t="shared" ref="G313" si="56">+ROUND(E313,5)</f>
        <v>9.5399999999999999E-3</v>
      </c>
      <c r="H313" s="111"/>
    </row>
    <row r="314" spans="2:8" x14ac:dyDescent="0.25">
      <c r="B314" s="88" t="s">
        <v>411</v>
      </c>
      <c r="C314" s="36"/>
      <c r="D314" s="36"/>
      <c r="E314" s="56"/>
      <c r="F314" s="56"/>
      <c r="G314" s="56"/>
    </row>
    <row r="315" spans="2:8" x14ac:dyDescent="0.25">
      <c r="C315" s="36" t="s">
        <v>453</v>
      </c>
      <c r="D315" s="36" t="s">
        <v>594</v>
      </c>
      <c r="E315" s="56">
        <f>+INDEX('2027 GSLDSU Rate Class E-13c'!Q:Q,MATCH('2027 Base Rates'!D315,'2027 GSLDSU Rate Class E-13c'!B:B,0))</f>
        <v>14.072277164956549</v>
      </c>
      <c r="F315" s="56"/>
      <c r="G315" s="56">
        <f t="shared" ref="G315:G317" si="57">+ROUND(E315,2)</f>
        <v>14.07</v>
      </c>
      <c r="H315" s="109"/>
    </row>
    <row r="316" spans="2:8" x14ac:dyDescent="0.25">
      <c r="C316" s="36" t="s">
        <v>473</v>
      </c>
      <c r="D316" s="36" t="s">
        <v>597</v>
      </c>
      <c r="E316" s="56">
        <f>+INDEX('2027 GSLDSU Rate Class E-13c'!Q:Q,MATCH('2027 Base Rates'!D316,'2027 GSLDSU Rate Class E-13c'!B:B,0))</f>
        <v>1.7093931770928814</v>
      </c>
      <c r="F316" s="56"/>
      <c r="G316" s="56">
        <f t="shared" si="57"/>
        <v>1.71</v>
      </c>
      <c r="H316" s="109"/>
    </row>
    <row r="317" spans="2:8" x14ac:dyDescent="0.25">
      <c r="C317" s="36" t="s">
        <v>474</v>
      </c>
      <c r="D317" s="36" t="s">
        <v>598</v>
      </c>
      <c r="E317" s="56">
        <f>+INDEX('2027 GSLDSU Rate Class E-13c'!Q:Q,MATCH('2027 Base Rates'!D317,'2027 GSLDSU Rate Class E-13c'!B:B,0))</f>
        <v>12.362883987863668</v>
      </c>
      <c r="F317" s="56"/>
      <c r="G317" s="56">
        <f t="shared" si="57"/>
        <v>12.36</v>
      </c>
      <c r="H317" s="109"/>
    </row>
    <row r="318" spans="2:8" x14ac:dyDescent="0.25">
      <c r="B318" s="88" t="s">
        <v>418</v>
      </c>
      <c r="C318" s="36"/>
      <c r="D318" s="36"/>
      <c r="E318" s="56"/>
      <c r="F318" s="56"/>
      <c r="G318" s="56"/>
    </row>
    <row r="319" spans="2:8" x14ac:dyDescent="0.25">
      <c r="B319" s="88"/>
      <c r="C319" s="36" t="s">
        <v>475</v>
      </c>
      <c r="D319" s="36" t="s">
        <v>595</v>
      </c>
      <c r="E319" s="56">
        <f>+INDEX('2027 GSLDSU Rate Class E-13c'!Q:Q,MATCH('2027 Base Rates'!D319,'2027 GSLDSU Rate Class E-13c'!B:B,0))</f>
        <v>1.4331276131182744</v>
      </c>
      <c r="F319" s="56"/>
      <c r="G319" s="56">
        <f t="shared" ref="G319:G324" si="58">+ROUND(E319,2)</f>
        <v>1.43</v>
      </c>
      <c r="H319" s="109"/>
    </row>
    <row r="320" spans="2:8" x14ac:dyDescent="0.25">
      <c r="B320" s="88"/>
      <c r="C320" s="36" t="s">
        <v>476</v>
      </c>
      <c r="D320" s="36" t="s">
        <v>596</v>
      </c>
      <c r="E320" s="56">
        <f>+INDEX('2027 GSLDSU Rate Class E-13c'!Q:Q,MATCH('2027 Base Rates'!D320,'2027 GSLDSU Rate Class E-13c'!B:B,0))</f>
        <v>1.6921265793444686</v>
      </c>
      <c r="F320" s="56"/>
      <c r="G320" s="56">
        <f t="shared" si="58"/>
        <v>1.69</v>
      </c>
      <c r="H320" s="109"/>
    </row>
    <row r="321" spans="2:8" x14ac:dyDescent="0.25">
      <c r="B321" s="88"/>
      <c r="C321" s="36" t="s">
        <v>477</v>
      </c>
      <c r="D321" s="36" t="s">
        <v>599</v>
      </c>
      <c r="E321" s="56">
        <f>+INDEX('2027 GSLDSU Rate Class E-13c'!Q:Q,MATCH('2027 Base Rates'!D321,'2027 GSLDSU Rate Class E-13c'!B:B,0))</f>
        <v>0.67339731218810484</v>
      </c>
      <c r="F321" s="56"/>
      <c r="G321" s="56">
        <f t="shared" si="58"/>
        <v>0.67</v>
      </c>
      <c r="H321" s="109"/>
    </row>
    <row r="322" spans="2:8" x14ac:dyDescent="0.25">
      <c r="C322" s="36" t="s">
        <v>478</v>
      </c>
      <c r="D322" s="36" t="s">
        <v>600</v>
      </c>
      <c r="E322" s="56">
        <f>+INDEX('2027 GSLDSU Rate Class E-13c'!Q:Q,MATCH('2027 Base Rates'!D322,'2027 GSLDSU Rate Class E-13c'!B:B,0))</f>
        <v>1.4331276131182744</v>
      </c>
      <c r="F322" s="56"/>
      <c r="G322" s="56">
        <f t="shared" si="58"/>
        <v>1.43</v>
      </c>
      <c r="H322" s="109"/>
    </row>
    <row r="323" spans="2:8" x14ac:dyDescent="0.25">
      <c r="C323" s="36" t="s">
        <v>479</v>
      </c>
      <c r="D323" s="36" t="s">
        <v>601</v>
      </c>
      <c r="E323" s="56">
        <f>+INDEX('2027 GSLDSU Rate Class E-13c'!Q:Q,MATCH('2027 Base Rates'!D323,'2027 GSLDSU Rate Class E-13c'!B:B,0))</f>
        <v>1.6921265793444686</v>
      </c>
      <c r="F323" s="56"/>
      <c r="G323" s="56">
        <f t="shared" si="58"/>
        <v>1.69</v>
      </c>
      <c r="H323" s="109"/>
    </row>
    <row r="324" spans="2:8" x14ac:dyDescent="0.25">
      <c r="C324" s="36" t="s">
        <v>480</v>
      </c>
      <c r="D324" s="36" t="s">
        <v>602</v>
      </c>
      <c r="E324" s="56">
        <f>+INDEX('2027 GSLDSU Rate Class E-13c'!Q:Q,MATCH('2027 Base Rates'!D324,'2027 GSLDSU Rate Class E-13c'!B:B,0))</f>
        <v>0.67339731218810484</v>
      </c>
      <c r="F324" s="56"/>
      <c r="G324" s="56">
        <f t="shared" si="58"/>
        <v>0.67</v>
      </c>
      <c r="H324" s="109"/>
    </row>
    <row r="325" spans="2:8" x14ac:dyDescent="0.25">
      <c r="C325" s="36"/>
      <c r="D325" s="36"/>
      <c r="E325" s="56"/>
      <c r="F325" s="56"/>
      <c r="G325" s="56"/>
    </row>
    <row r="326" spans="2:8" x14ac:dyDescent="0.25">
      <c r="B326" s="88" t="s">
        <v>444</v>
      </c>
      <c r="C326" s="36"/>
      <c r="D326" s="36"/>
      <c r="E326" s="56"/>
      <c r="F326" s="56"/>
      <c r="G326" s="56"/>
    </row>
    <row r="327" spans="2:8" x14ac:dyDescent="0.25">
      <c r="C327" s="36" t="s">
        <v>365</v>
      </c>
      <c r="D327" s="36" t="s">
        <v>603</v>
      </c>
      <c r="E327" s="92">
        <f>+INDEX('2027 GSLDSU Rate Class E-13c'!Q:Q,MATCH('2027 Base Rates'!D327,'2027 GSLDSU Rate Class E-13c'!B:B,0))</f>
        <v>2.2367467399320301E-3</v>
      </c>
      <c r="F327" s="56"/>
      <c r="G327" s="92">
        <f t="shared" ref="G327:G328" si="59">+ROUND(E327,5)</f>
        <v>2.2399999999999998E-3</v>
      </c>
      <c r="H327" s="111"/>
    </row>
    <row r="328" spans="2:8" x14ac:dyDescent="0.25">
      <c r="C328" s="36" t="s">
        <v>372</v>
      </c>
      <c r="D328" s="36" t="s">
        <v>604</v>
      </c>
      <c r="E328" s="92">
        <f>+INDEX('2027 GSLDSU Rate Class E-13c'!Q:Q,MATCH('2027 Base Rates'!D328,'2027 GSLDSU Rate Class E-13c'!B:B,0))</f>
        <v>2.2367467399320301E-3</v>
      </c>
      <c r="F328" s="56"/>
      <c r="G328" s="92">
        <f t="shared" si="59"/>
        <v>2.2399999999999998E-3</v>
      </c>
      <c r="H328" s="111"/>
    </row>
    <row r="329" spans="2:8" x14ac:dyDescent="0.25">
      <c r="B329" s="88" t="s">
        <v>445</v>
      </c>
      <c r="C329" s="36"/>
      <c r="D329" s="36"/>
      <c r="E329" s="56"/>
      <c r="F329" s="56"/>
      <c r="G329" s="56"/>
    </row>
    <row r="330" spans="2:8" x14ac:dyDescent="0.25">
      <c r="C330" s="36" t="s">
        <v>365</v>
      </c>
      <c r="D330" s="36" t="s">
        <v>605</v>
      </c>
      <c r="E330" s="92">
        <f>+INDEX('2027 GSLDSU Rate Class E-13c'!Q:Q,MATCH('2027 Base Rates'!D330,'2027 GSLDSU Rate Class E-13c'!B:B,0))</f>
        <v>-1.1238825983894928E-3</v>
      </c>
      <c r="F330" s="56"/>
      <c r="G330" s="92">
        <f t="shared" ref="G330:G331" si="60">+ROUND(E330,5)</f>
        <v>-1.1199999999999999E-3</v>
      </c>
      <c r="H330" s="111"/>
    </row>
    <row r="331" spans="2:8" x14ac:dyDescent="0.25">
      <c r="C331" s="36" t="s">
        <v>372</v>
      </c>
      <c r="D331" s="36" t="s">
        <v>606</v>
      </c>
      <c r="E331" s="92">
        <f>+INDEX('2027 GSLDSU Rate Class E-13c'!Q:Q,MATCH('2027 Base Rates'!D331,'2027 GSLDSU Rate Class E-13c'!B:B,0))</f>
        <v>-1.1238825983894928E-3</v>
      </c>
      <c r="F331" s="56"/>
      <c r="G331" s="92">
        <f t="shared" si="60"/>
        <v>-1.1199999999999999E-3</v>
      </c>
      <c r="H331" s="111"/>
    </row>
    <row r="332" spans="2:8" x14ac:dyDescent="0.25">
      <c r="C332" s="36"/>
      <c r="D332" s="36"/>
      <c r="E332" s="56"/>
      <c r="F332" s="56"/>
      <c r="G332" s="56"/>
    </row>
    <row r="333" spans="2:8" x14ac:dyDescent="0.25">
      <c r="B333" s="88" t="s">
        <v>451</v>
      </c>
      <c r="C333" s="36"/>
      <c r="D333" s="36"/>
      <c r="E333" s="56"/>
      <c r="F333" s="56"/>
      <c r="G333" s="56"/>
    </row>
    <row r="334" spans="2:8" x14ac:dyDescent="0.25">
      <c r="C334" s="36" t="s">
        <v>453</v>
      </c>
      <c r="D334" s="36" t="s">
        <v>607</v>
      </c>
      <c r="E334" s="56">
        <f>+INDEX('2027 GSLDSU Rate Class E-13c'!Q:Q,MATCH('2027 Base Rates'!D334,'2027 GSLDSU Rate Class E-13c'!B:B,0))</f>
        <v>1.1238825983894927</v>
      </c>
      <c r="F334" s="56"/>
      <c r="G334" s="56">
        <f t="shared" ref="G334:G335" si="61">+ROUND(E334,2)</f>
        <v>1.1200000000000001</v>
      </c>
      <c r="H334" s="109"/>
    </row>
    <row r="335" spans="2:8" x14ac:dyDescent="0.25">
      <c r="C335" s="36" t="s">
        <v>399</v>
      </c>
      <c r="D335" s="36" t="s">
        <v>608</v>
      </c>
      <c r="E335" s="56">
        <f>+INDEX('2027 GSLDSU Rate Class E-13c'!Q:Q,MATCH('2027 Base Rates'!D335,'2027 GSLDSU Rate Class E-13c'!B:B,0))</f>
        <v>1.1238825983894927</v>
      </c>
      <c r="F335" s="56"/>
      <c r="G335" s="56">
        <f t="shared" si="61"/>
        <v>1.1200000000000001</v>
      </c>
      <c r="H335" s="109"/>
    </row>
    <row r="336" spans="2:8" x14ac:dyDescent="0.25">
      <c r="C336" s="36"/>
      <c r="D336" s="36"/>
      <c r="E336" s="56"/>
      <c r="F336" s="56"/>
      <c r="G336" s="56"/>
    </row>
    <row r="337" spans="2:8" x14ac:dyDescent="0.25">
      <c r="B337" s="88" t="s">
        <v>481</v>
      </c>
      <c r="C337" s="97"/>
      <c r="D337" s="97"/>
      <c r="E337" s="56"/>
      <c r="F337" s="56"/>
      <c r="G337" s="56"/>
    </row>
    <row r="338" spans="2:8" x14ac:dyDescent="0.25">
      <c r="C338" s="89"/>
      <c r="D338" s="89"/>
      <c r="E338" s="56"/>
      <c r="F338" s="56"/>
      <c r="G338" s="56"/>
    </row>
    <row r="339" spans="2:8" x14ac:dyDescent="0.25">
      <c r="B339" s="31" t="s">
        <v>482</v>
      </c>
      <c r="C339" s="89"/>
      <c r="D339" s="89" t="s">
        <v>549</v>
      </c>
      <c r="E339" s="56">
        <f>+'2027 LS Rate Class E-13c'!Q18</f>
        <v>0.71</v>
      </c>
      <c r="F339" s="56"/>
      <c r="G339" s="56">
        <f>+ROUND(E339,2)</f>
        <v>0.71</v>
      </c>
      <c r="H339" s="109"/>
    </row>
    <row r="340" spans="2:8" x14ac:dyDescent="0.25">
      <c r="C340" s="89"/>
      <c r="D340" s="89"/>
      <c r="E340" s="56"/>
      <c r="F340" s="56"/>
      <c r="G340" s="56"/>
    </row>
    <row r="341" spans="2:8" x14ac:dyDescent="0.25">
      <c r="B341" s="31" t="s">
        <v>342</v>
      </c>
      <c r="C341" s="89"/>
      <c r="D341" s="89" t="s">
        <v>497</v>
      </c>
      <c r="E341" s="92">
        <f>+'2027 LS Rate Class E-13c'!Q20</f>
        <v>3.2599999999999997E-2</v>
      </c>
      <c r="F341" s="56"/>
      <c r="G341" s="92">
        <f>+ROUND(E341,5)</f>
        <v>3.2599999999999997E-2</v>
      </c>
      <c r="H341" s="111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C0C5-B83C-4B1A-968C-184F9A85BF07}">
  <dimension ref="A1:G13"/>
  <sheetViews>
    <sheetView workbookViewId="0">
      <selection activeCell="G12" sqref="G12"/>
    </sheetView>
  </sheetViews>
  <sheetFormatPr defaultRowHeight="15" x14ac:dyDescent="0.25"/>
  <cols>
    <col min="1" max="2" width="9.140625" style="97"/>
    <col min="3" max="5" width="20.7109375" customWidth="1"/>
    <col min="6" max="6" width="15.5703125" customWidth="1"/>
    <col min="7" max="11" width="44.28515625" customWidth="1"/>
  </cols>
  <sheetData>
    <row r="1" spans="1:7" x14ac:dyDescent="0.25">
      <c r="A1" s="97" t="s">
        <v>1276</v>
      </c>
      <c r="B1" s="97" t="s">
        <v>1277</v>
      </c>
      <c r="C1" s="184" t="s">
        <v>815</v>
      </c>
      <c r="D1" s="184" t="s">
        <v>1290</v>
      </c>
      <c r="E1" s="184" t="s">
        <v>919</v>
      </c>
      <c r="F1" s="185" t="s">
        <v>1283</v>
      </c>
      <c r="G1" s="97"/>
    </row>
    <row r="2" spans="1:7" x14ac:dyDescent="0.25">
      <c r="A2" s="97">
        <v>2025</v>
      </c>
      <c r="B2" s="97">
        <v>1</v>
      </c>
      <c r="C2" s="190">
        <v>0</v>
      </c>
      <c r="D2" s="191">
        <v>-11461.633333333333</v>
      </c>
      <c r="E2" s="191">
        <v>0</v>
      </c>
      <c r="F2" s="191">
        <v>-11461.633333333333</v>
      </c>
      <c r="G2" s="189"/>
    </row>
    <row r="3" spans="1:7" x14ac:dyDescent="0.25">
      <c r="A3" s="97">
        <v>2025</v>
      </c>
      <c r="B3" s="97">
        <v>2</v>
      </c>
      <c r="C3" s="190">
        <v>0</v>
      </c>
      <c r="D3" s="191">
        <v>-11783.911666666667</v>
      </c>
      <c r="E3" s="191">
        <v>0</v>
      </c>
      <c r="F3" s="191">
        <v>-11783.911666666667</v>
      </c>
      <c r="G3" s="189"/>
    </row>
    <row r="4" spans="1:7" x14ac:dyDescent="0.25">
      <c r="A4" s="97">
        <v>2025</v>
      </c>
      <c r="B4" s="97">
        <v>3</v>
      </c>
      <c r="C4" s="190">
        <v>0</v>
      </c>
      <c r="D4" s="191">
        <v>-10572.5075</v>
      </c>
      <c r="E4" s="191">
        <v>0</v>
      </c>
      <c r="F4" s="191">
        <v>-10572.5075</v>
      </c>
      <c r="G4" s="189"/>
    </row>
    <row r="5" spans="1:7" x14ac:dyDescent="0.25">
      <c r="A5" s="97">
        <v>2025</v>
      </c>
      <c r="B5" s="97">
        <v>4</v>
      </c>
      <c r="C5" s="190">
        <v>0</v>
      </c>
      <c r="D5" s="191">
        <v>-11377.842499999999</v>
      </c>
      <c r="E5" s="191">
        <v>0</v>
      </c>
      <c r="F5" s="191">
        <v>-11377.842499999999</v>
      </c>
      <c r="G5" s="189"/>
    </row>
    <row r="6" spans="1:7" x14ac:dyDescent="0.25">
      <c r="A6" s="97">
        <v>2025</v>
      </c>
      <c r="B6" s="97">
        <v>5</v>
      </c>
      <c r="C6" s="190">
        <v>0</v>
      </c>
      <c r="D6" s="191">
        <v>-11584.805833333334</v>
      </c>
      <c r="E6" s="191">
        <v>0</v>
      </c>
      <c r="F6" s="191">
        <v>-11584.805833333334</v>
      </c>
      <c r="G6" s="189"/>
    </row>
    <row r="7" spans="1:7" x14ac:dyDescent="0.25">
      <c r="A7" s="97">
        <v>2025</v>
      </c>
      <c r="B7" s="97">
        <v>6</v>
      </c>
      <c r="C7" s="190">
        <v>0</v>
      </c>
      <c r="D7" s="191">
        <v>-11551.060000000001</v>
      </c>
      <c r="E7" s="191">
        <v>0</v>
      </c>
      <c r="F7" s="191">
        <v>-11551.060000000001</v>
      </c>
      <c r="G7" s="189"/>
    </row>
    <row r="8" spans="1:7" x14ac:dyDescent="0.25">
      <c r="A8" s="97">
        <v>2025</v>
      </c>
      <c r="B8" s="97">
        <v>7</v>
      </c>
      <c r="C8" s="190">
        <v>0</v>
      </c>
      <c r="D8" s="191">
        <v>-3600.5674999999997</v>
      </c>
      <c r="E8" s="191">
        <v>0</v>
      </c>
      <c r="F8" s="191">
        <v>-3600.5674999999997</v>
      </c>
      <c r="G8" s="189"/>
    </row>
    <row r="9" spans="1:7" x14ac:dyDescent="0.25">
      <c r="A9" s="97">
        <v>2025</v>
      </c>
      <c r="B9" s="97">
        <v>8</v>
      </c>
      <c r="C9" s="190">
        <v>0</v>
      </c>
      <c r="D9" s="191">
        <v>-3634.6475</v>
      </c>
      <c r="E9" s="191">
        <v>0</v>
      </c>
      <c r="F9" s="191">
        <v>-3634.6475</v>
      </c>
      <c r="G9" s="189"/>
    </row>
    <row r="10" spans="1:7" x14ac:dyDescent="0.25">
      <c r="A10" s="97">
        <v>2025</v>
      </c>
      <c r="B10" s="97">
        <v>9</v>
      </c>
      <c r="C10" s="190">
        <v>0</v>
      </c>
      <c r="D10" s="191">
        <v>-3503.2974999999997</v>
      </c>
      <c r="E10" s="191">
        <v>0</v>
      </c>
      <c r="F10" s="191">
        <v>-3503.2974999999997</v>
      </c>
      <c r="G10" s="189"/>
    </row>
    <row r="11" spans="1:7" x14ac:dyDescent="0.25">
      <c r="A11" s="97">
        <v>2025</v>
      </c>
      <c r="B11" s="97">
        <v>10</v>
      </c>
      <c r="C11" s="190">
        <v>0</v>
      </c>
      <c r="D11" s="191">
        <v>-3498.5225</v>
      </c>
      <c r="E11" s="191">
        <v>0</v>
      </c>
      <c r="F11" s="191">
        <v>-3498.5225</v>
      </c>
      <c r="G11" s="189"/>
    </row>
    <row r="12" spans="1:7" x14ac:dyDescent="0.25">
      <c r="A12" s="97">
        <v>2025</v>
      </c>
      <c r="B12" s="97">
        <v>11</v>
      </c>
      <c r="C12" s="190">
        <v>0</v>
      </c>
      <c r="D12" s="191">
        <v>-3368.6649999999991</v>
      </c>
      <c r="E12" s="191">
        <v>0</v>
      </c>
      <c r="F12" s="191">
        <v>-3368.6649999999991</v>
      </c>
      <c r="G12" s="189"/>
    </row>
    <row r="13" spans="1:7" x14ac:dyDescent="0.25">
      <c r="A13" s="97">
        <v>2025</v>
      </c>
      <c r="B13" s="97">
        <v>12</v>
      </c>
      <c r="C13" s="190">
        <v>0</v>
      </c>
      <c r="D13" s="191">
        <v>-3168.9724999999999</v>
      </c>
      <c r="E13" s="191">
        <v>0</v>
      </c>
      <c r="F13" s="191">
        <v>-3168.9724999999999</v>
      </c>
      <c r="G13" s="189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F811A-E732-47BB-BC35-6D1AB33C66B6}">
  <dimension ref="B2:H34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defaultRowHeight="15" x14ac:dyDescent="0.25"/>
  <cols>
    <col min="2" max="2" width="61.140625" bestFit="1" customWidth="1"/>
    <col min="3" max="3" width="39.85546875" bestFit="1" customWidth="1"/>
    <col min="4" max="4" width="49.42578125" bestFit="1" customWidth="1"/>
    <col min="5" max="5" width="13.42578125" bestFit="1" customWidth="1"/>
    <col min="7" max="7" width="24.28515625" bestFit="1" customWidth="1"/>
    <col min="8" max="8" width="9.5703125" bestFit="1" customWidth="1"/>
  </cols>
  <sheetData>
    <row r="2" spans="2:8" x14ac:dyDescent="0.25">
      <c r="B2" s="88" t="s">
        <v>346</v>
      </c>
      <c r="C2" s="90" t="s">
        <v>489</v>
      </c>
      <c r="D2" s="90" t="s">
        <v>496</v>
      </c>
      <c r="E2" s="88" t="s">
        <v>347</v>
      </c>
      <c r="F2" s="88"/>
      <c r="G2" s="97"/>
    </row>
    <row r="3" spans="2:8" x14ac:dyDescent="0.25">
      <c r="B3" s="31" t="s">
        <v>348</v>
      </c>
      <c r="C3" s="89"/>
      <c r="D3" s="89"/>
      <c r="E3" s="89"/>
      <c r="F3" s="89"/>
      <c r="G3" s="89"/>
    </row>
    <row r="4" spans="2:8" x14ac:dyDescent="0.25">
      <c r="C4" s="36" t="s">
        <v>349</v>
      </c>
      <c r="D4" s="36" t="s">
        <v>534</v>
      </c>
      <c r="E4" s="56">
        <v>1.1351081432400001</v>
      </c>
      <c r="F4" s="56"/>
      <c r="G4" s="56"/>
      <c r="H4" s="109"/>
    </row>
    <row r="5" spans="2:8" x14ac:dyDescent="0.25">
      <c r="C5" s="36" t="s">
        <v>350</v>
      </c>
      <c r="D5" s="36" t="s">
        <v>535</v>
      </c>
      <c r="E5" s="56">
        <v>1.1351081432400001</v>
      </c>
      <c r="F5" s="56"/>
      <c r="G5" s="56"/>
      <c r="H5" s="109"/>
    </row>
    <row r="6" spans="2:8" x14ac:dyDescent="0.25">
      <c r="C6" s="36"/>
      <c r="D6" s="36"/>
      <c r="E6" s="56"/>
      <c r="F6" s="56"/>
      <c r="G6" s="56"/>
    </row>
    <row r="7" spans="2:8" x14ac:dyDescent="0.25">
      <c r="B7" s="31" t="s">
        <v>332</v>
      </c>
      <c r="C7" s="91"/>
      <c r="D7" s="91"/>
      <c r="E7" s="56"/>
      <c r="F7" s="56"/>
      <c r="G7" s="56"/>
    </row>
    <row r="8" spans="2:8" x14ac:dyDescent="0.25">
      <c r="C8" s="36" t="s">
        <v>349</v>
      </c>
      <c r="D8" s="36"/>
      <c r="E8" s="56"/>
      <c r="F8" s="56"/>
      <c r="G8" s="56"/>
    </row>
    <row r="9" spans="2:8" x14ac:dyDescent="0.25">
      <c r="C9" s="57" t="s">
        <v>351</v>
      </c>
      <c r="D9" s="57" t="s">
        <v>483</v>
      </c>
      <c r="E9" s="92">
        <v>7.9473423983683136E-2</v>
      </c>
      <c r="F9" s="56"/>
      <c r="G9" s="92"/>
      <c r="H9" s="111"/>
    </row>
    <row r="10" spans="2:8" x14ac:dyDescent="0.25">
      <c r="C10" s="57" t="s">
        <v>352</v>
      </c>
      <c r="D10" s="57" t="s">
        <v>484</v>
      </c>
      <c r="E10" s="92">
        <v>8.9473423983683131E-2</v>
      </c>
      <c r="F10" s="56"/>
      <c r="G10" s="92"/>
      <c r="H10" s="111"/>
    </row>
    <row r="11" spans="2:8" x14ac:dyDescent="0.25">
      <c r="C11" s="36" t="s">
        <v>350</v>
      </c>
      <c r="D11" s="36" t="s">
        <v>550</v>
      </c>
      <c r="E11" s="92">
        <v>8.3799646462193414E-2</v>
      </c>
      <c r="F11" s="56"/>
      <c r="G11" s="92"/>
      <c r="H11" s="111"/>
    </row>
    <row r="12" spans="2:8" x14ac:dyDescent="0.25">
      <c r="C12" s="36"/>
      <c r="D12" s="36"/>
      <c r="E12" s="56"/>
      <c r="F12" s="56"/>
      <c r="G12" s="56"/>
    </row>
    <row r="13" spans="2:8" x14ac:dyDescent="0.25">
      <c r="B13" s="88" t="s">
        <v>353</v>
      </c>
      <c r="C13" s="36"/>
      <c r="D13" s="36"/>
      <c r="E13" s="56"/>
      <c r="F13" s="56"/>
      <c r="G13" s="56"/>
    </row>
    <row r="14" spans="2:8" x14ac:dyDescent="0.25">
      <c r="B14" s="31" t="s">
        <v>348</v>
      </c>
      <c r="C14" s="89"/>
      <c r="D14" s="89"/>
      <c r="E14" s="56"/>
      <c r="F14" s="56"/>
      <c r="G14" s="56"/>
    </row>
    <row r="15" spans="2:8" x14ac:dyDescent="0.25">
      <c r="C15" s="36" t="s">
        <v>354</v>
      </c>
      <c r="D15" s="36" t="s">
        <v>536</v>
      </c>
      <c r="E15" s="56">
        <v>1.3453052596000001</v>
      </c>
      <c r="F15" s="56"/>
      <c r="G15" s="56"/>
      <c r="H15" s="109"/>
    </row>
    <row r="16" spans="2:8" x14ac:dyDescent="0.25">
      <c r="C16" s="57" t="s">
        <v>355</v>
      </c>
      <c r="D16" s="57" t="s">
        <v>537</v>
      </c>
      <c r="E16" s="56">
        <v>1.1228532088000001</v>
      </c>
      <c r="F16" s="56"/>
      <c r="G16" s="56"/>
      <c r="H16" s="109"/>
    </row>
    <row r="17" spans="2:8" x14ac:dyDescent="0.25">
      <c r="C17" s="36" t="s">
        <v>356</v>
      </c>
      <c r="D17" s="36" t="s">
        <v>538</v>
      </c>
      <c r="E17" s="56">
        <v>1.3453052596000001</v>
      </c>
      <c r="F17" s="56"/>
      <c r="G17" s="56"/>
      <c r="H17" s="109"/>
    </row>
    <row r="18" spans="2:8" x14ac:dyDescent="0.25">
      <c r="B18" s="31" t="s">
        <v>332</v>
      </c>
      <c r="C18" s="89"/>
      <c r="D18" s="89"/>
      <c r="E18" s="56"/>
      <c r="F18" s="56"/>
      <c r="G18" s="56"/>
    </row>
    <row r="19" spans="2:8" x14ac:dyDescent="0.25">
      <c r="C19" s="36" t="s">
        <v>349</v>
      </c>
      <c r="D19" s="36" t="s">
        <v>485</v>
      </c>
      <c r="E19" s="92">
        <v>7.2100512585157872E-2</v>
      </c>
      <c r="F19" s="56"/>
      <c r="G19" s="92"/>
      <c r="H19" s="111"/>
    </row>
    <row r="20" spans="2:8" x14ac:dyDescent="0.25">
      <c r="C20" s="57" t="s">
        <v>355</v>
      </c>
      <c r="D20" s="57" t="s">
        <v>486</v>
      </c>
      <c r="E20" s="92">
        <v>7.2100512585157872E-2</v>
      </c>
      <c r="F20" s="56"/>
      <c r="G20" s="92"/>
      <c r="H20" s="111"/>
    </row>
    <row r="21" spans="2:8" x14ac:dyDescent="0.25">
      <c r="C21" s="36" t="s">
        <v>357</v>
      </c>
      <c r="D21" s="36" t="s">
        <v>487</v>
      </c>
      <c r="E21" s="92">
        <v>0.10499602754864824</v>
      </c>
      <c r="F21" s="56"/>
      <c r="G21" s="92"/>
      <c r="H21" s="111"/>
    </row>
    <row r="22" spans="2:8" x14ac:dyDescent="0.25">
      <c r="C22" s="36" t="s">
        <v>358</v>
      </c>
      <c r="D22" s="36" t="s">
        <v>488</v>
      </c>
      <c r="E22" s="92">
        <v>5.6925198666248247E-2</v>
      </c>
      <c r="F22" s="56"/>
      <c r="G22" s="92"/>
      <c r="H22" s="111"/>
    </row>
    <row r="23" spans="2:8" x14ac:dyDescent="0.25">
      <c r="C23" s="36" t="s">
        <v>1232</v>
      </c>
      <c r="D23" s="36" t="s">
        <v>1233</v>
      </c>
      <c r="E23" s="92">
        <v>5.2783353339448245E-2</v>
      </c>
      <c r="F23" s="56"/>
      <c r="G23" s="92"/>
      <c r="H23" s="111"/>
    </row>
    <row r="24" spans="2:8" x14ac:dyDescent="0.25">
      <c r="B24" s="31" t="s">
        <v>345</v>
      </c>
      <c r="C24" s="89"/>
      <c r="D24" s="89"/>
      <c r="E24" s="56"/>
      <c r="F24" s="56"/>
      <c r="G24" s="56"/>
    </row>
    <row r="25" spans="2:8" x14ac:dyDescent="0.25">
      <c r="B25" s="31"/>
      <c r="C25" s="36" t="s">
        <v>349</v>
      </c>
      <c r="D25" s="36" t="s">
        <v>490</v>
      </c>
      <c r="E25" s="92">
        <v>2.7223893835999998E-3</v>
      </c>
      <c r="F25" s="56"/>
      <c r="G25" s="92"/>
      <c r="H25" s="111"/>
    </row>
    <row r="26" spans="2:8" x14ac:dyDescent="0.25">
      <c r="C26" s="36" t="s">
        <v>356</v>
      </c>
      <c r="D26" s="36" t="s">
        <v>491</v>
      </c>
      <c r="E26" s="92">
        <v>2.7223893835999998E-3</v>
      </c>
      <c r="F26" s="56"/>
      <c r="G26" s="92"/>
      <c r="H26" s="111"/>
    </row>
    <row r="27" spans="2:8" x14ac:dyDescent="0.25">
      <c r="B27" s="88" t="s">
        <v>359</v>
      </c>
      <c r="C27" s="89"/>
      <c r="D27" s="89"/>
      <c r="E27" s="56"/>
      <c r="F27" s="56"/>
      <c r="G27" s="56"/>
    </row>
    <row r="28" spans="2:8" x14ac:dyDescent="0.25">
      <c r="B28" s="31" t="s">
        <v>348</v>
      </c>
      <c r="C28" s="89"/>
      <c r="D28" s="89"/>
      <c r="E28" s="56"/>
      <c r="F28" s="56"/>
      <c r="G28" s="56"/>
    </row>
    <row r="29" spans="2:8" x14ac:dyDescent="0.25">
      <c r="C29" s="57" t="s">
        <v>360</v>
      </c>
      <c r="D29" s="57" t="s">
        <v>539</v>
      </c>
      <c r="E29" s="56">
        <v>1.3453052596000001</v>
      </c>
      <c r="F29" s="56"/>
      <c r="G29" s="56"/>
      <c r="H29" s="109"/>
    </row>
    <row r="30" spans="2:8" x14ac:dyDescent="0.25">
      <c r="B30" s="31" t="s">
        <v>332</v>
      </c>
      <c r="C30" s="89"/>
      <c r="D30" s="89"/>
      <c r="E30" s="56"/>
      <c r="F30" s="56"/>
      <c r="G30" s="56"/>
    </row>
    <row r="31" spans="2:8" x14ac:dyDescent="0.25">
      <c r="C31" s="36" t="s">
        <v>361</v>
      </c>
      <c r="D31" s="36" t="s">
        <v>492</v>
      </c>
      <c r="E31" s="92">
        <v>7.2100512585157872E-2</v>
      </c>
      <c r="F31" s="56"/>
      <c r="G31" s="92"/>
      <c r="H31" s="111"/>
    </row>
    <row r="32" spans="2:8" x14ac:dyDescent="0.25">
      <c r="B32" s="88" t="s">
        <v>362</v>
      </c>
      <c r="C32" s="89"/>
      <c r="D32" s="89"/>
      <c r="E32" s="56"/>
      <c r="F32" s="56"/>
      <c r="G32" s="56"/>
    </row>
    <row r="33" spans="2:8" x14ac:dyDescent="0.25">
      <c r="B33" s="31" t="s">
        <v>348</v>
      </c>
      <c r="C33" s="89"/>
      <c r="D33" s="89"/>
      <c r="E33" s="56"/>
      <c r="F33" s="56"/>
      <c r="G33" s="56"/>
    </row>
    <row r="34" spans="2:8" x14ac:dyDescent="0.25">
      <c r="C34" s="36" t="s">
        <v>363</v>
      </c>
      <c r="D34" s="36" t="s">
        <v>540</v>
      </c>
      <c r="E34" s="56">
        <v>1.8221798095199999</v>
      </c>
      <c r="F34" s="56"/>
      <c r="G34" s="56"/>
      <c r="H34" s="109"/>
    </row>
    <row r="35" spans="2:8" x14ac:dyDescent="0.25">
      <c r="C35" s="36" t="s">
        <v>364</v>
      </c>
      <c r="D35" s="36" t="s">
        <v>541</v>
      </c>
      <c r="E35" s="56">
        <v>9.9160482657599989</v>
      </c>
      <c r="F35" s="56"/>
      <c r="G35" s="56"/>
      <c r="H35" s="109"/>
    </row>
    <row r="36" spans="2:8" x14ac:dyDescent="0.25">
      <c r="C36" s="36" t="s">
        <v>365</v>
      </c>
      <c r="D36" s="36" t="s">
        <v>542</v>
      </c>
      <c r="E36" s="56">
        <v>27.290320868160002</v>
      </c>
      <c r="F36" s="56"/>
      <c r="G36" s="56"/>
      <c r="H36" s="109"/>
    </row>
    <row r="37" spans="2:8" x14ac:dyDescent="0.25">
      <c r="B37" s="93" t="s">
        <v>366</v>
      </c>
      <c r="C37" s="94" t="s">
        <v>367</v>
      </c>
      <c r="D37" s="36" t="s">
        <v>543</v>
      </c>
      <c r="E37" s="56">
        <v>1.8221798095199999</v>
      </c>
      <c r="F37" s="56"/>
      <c r="G37" s="56"/>
      <c r="H37" s="109"/>
    </row>
    <row r="38" spans="2:8" x14ac:dyDescent="0.25">
      <c r="B38" s="93" t="s">
        <v>366</v>
      </c>
      <c r="C38" s="94" t="s">
        <v>368</v>
      </c>
      <c r="D38" s="36" t="s">
        <v>544</v>
      </c>
      <c r="E38" s="56">
        <v>9.9160482657599989</v>
      </c>
      <c r="F38" s="56"/>
      <c r="G38" s="56"/>
      <c r="H38" s="109"/>
    </row>
    <row r="39" spans="2:8" x14ac:dyDescent="0.25">
      <c r="B39" s="93" t="s">
        <v>366</v>
      </c>
      <c r="C39" s="94" t="s">
        <v>369</v>
      </c>
      <c r="D39" s="36" t="s">
        <v>545</v>
      </c>
      <c r="E39" s="56">
        <v>27.290320868160002</v>
      </c>
      <c r="F39" s="56"/>
      <c r="G39" s="56"/>
      <c r="H39" s="109"/>
    </row>
    <row r="40" spans="2:8" x14ac:dyDescent="0.25">
      <c r="C40" s="57" t="s">
        <v>370</v>
      </c>
      <c r="D40" s="36" t="s">
        <v>546</v>
      </c>
      <c r="E40" s="56">
        <v>1.8221798095199999</v>
      </c>
      <c r="F40" s="56"/>
      <c r="G40" s="56"/>
      <c r="H40" s="109"/>
    </row>
    <row r="41" spans="2:8" x14ac:dyDescent="0.25">
      <c r="C41" s="57" t="s">
        <v>371</v>
      </c>
      <c r="D41" s="36" t="s">
        <v>547</v>
      </c>
      <c r="E41" s="56">
        <v>9.9160482657599989</v>
      </c>
      <c r="F41" s="56"/>
      <c r="G41" s="56"/>
      <c r="H41" s="109"/>
    </row>
    <row r="42" spans="2:8" x14ac:dyDescent="0.25">
      <c r="C42" s="57" t="s">
        <v>372</v>
      </c>
      <c r="D42" s="36" t="s">
        <v>548</v>
      </c>
      <c r="E42" s="56">
        <v>27.290320868160002</v>
      </c>
      <c r="F42" s="56"/>
      <c r="G42" s="56"/>
      <c r="H42" s="109"/>
    </row>
    <row r="43" spans="2:8" x14ac:dyDescent="0.25">
      <c r="C43" s="57"/>
      <c r="D43" s="57"/>
      <c r="E43" s="56"/>
      <c r="F43" s="56"/>
      <c r="G43" s="56"/>
    </row>
    <row r="44" spans="2:8" x14ac:dyDescent="0.25">
      <c r="C44" s="57"/>
      <c r="D44" s="57"/>
      <c r="E44" s="56"/>
      <c r="F44" s="56"/>
      <c r="G44" s="56"/>
    </row>
    <row r="45" spans="2:8" x14ac:dyDescent="0.25">
      <c r="C45" s="57"/>
      <c r="D45" s="57"/>
      <c r="E45" s="56"/>
      <c r="F45" s="56"/>
      <c r="G45" s="56"/>
    </row>
    <row r="46" spans="2:8" x14ac:dyDescent="0.25">
      <c r="B46" s="37" t="s">
        <v>332</v>
      </c>
      <c r="C46" s="89"/>
      <c r="D46" s="89"/>
      <c r="E46" s="56"/>
      <c r="F46" s="56"/>
      <c r="G46" s="56"/>
    </row>
    <row r="47" spans="2:8" x14ac:dyDescent="0.25">
      <c r="C47" s="36" t="s">
        <v>363</v>
      </c>
      <c r="D47" s="36" t="s">
        <v>493</v>
      </c>
      <c r="E47" s="92">
        <v>8.1870962604480013E-3</v>
      </c>
      <c r="F47" s="56"/>
      <c r="G47" s="92"/>
      <c r="H47" s="111"/>
    </row>
    <row r="48" spans="2:8" x14ac:dyDescent="0.25">
      <c r="C48" s="36" t="s">
        <v>364</v>
      </c>
      <c r="D48" s="36" t="s">
        <v>494</v>
      </c>
      <c r="E48" s="92">
        <v>8.1870962604480013E-3</v>
      </c>
      <c r="F48" s="56"/>
      <c r="G48" s="92"/>
      <c r="H48" s="111"/>
    </row>
    <row r="49" spans="2:8" x14ac:dyDescent="0.25">
      <c r="C49" s="36" t="s">
        <v>365</v>
      </c>
      <c r="D49" s="36" t="s">
        <v>495</v>
      </c>
      <c r="E49" s="92">
        <v>8.1870962604480013E-3</v>
      </c>
      <c r="F49" s="56"/>
      <c r="G49" s="92"/>
      <c r="H49" s="111"/>
    </row>
    <row r="50" spans="2:8" x14ac:dyDescent="0.25">
      <c r="C50" s="94" t="s">
        <v>367</v>
      </c>
      <c r="D50" s="36" t="s">
        <v>498</v>
      </c>
      <c r="E50" s="92">
        <v>8.901864361304701E-2</v>
      </c>
      <c r="F50" s="56"/>
      <c r="G50" s="92"/>
      <c r="H50" s="111"/>
    </row>
    <row r="51" spans="2:8" x14ac:dyDescent="0.25">
      <c r="C51" s="94" t="s">
        <v>368</v>
      </c>
      <c r="D51" s="36" t="s">
        <v>499</v>
      </c>
      <c r="E51" s="92">
        <v>8.901864361304701E-2</v>
      </c>
      <c r="F51" s="56"/>
      <c r="G51" s="92"/>
      <c r="H51" s="111"/>
    </row>
    <row r="52" spans="2:8" x14ac:dyDescent="0.25">
      <c r="C52" s="94" t="s">
        <v>369</v>
      </c>
      <c r="D52" s="36" t="s">
        <v>500</v>
      </c>
      <c r="E52" s="92">
        <v>8.901864361304701E-2</v>
      </c>
      <c r="F52" s="56"/>
      <c r="G52" s="92"/>
      <c r="H52" s="111"/>
    </row>
    <row r="53" spans="2:8" x14ac:dyDescent="0.25">
      <c r="C53" s="57" t="s">
        <v>373</v>
      </c>
      <c r="D53" s="57" t="s">
        <v>501</v>
      </c>
      <c r="E53" s="92">
        <v>1.3170546158112001E-2</v>
      </c>
      <c r="F53" s="56"/>
      <c r="G53" s="92"/>
      <c r="H53" s="111"/>
    </row>
    <row r="54" spans="2:8" x14ac:dyDescent="0.25">
      <c r="C54" s="57" t="s">
        <v>374</v>
      </c>
      <c r="D54" s="57" t="s">
        <v>502</v>
      </c>
      <c r="E54" s="92">
        <v>1.3170546158112001E-2</v>
      </c>
      <c r="F54" s="56"/>
      <c r="G54" s="92"/>
      <c r="H54" s="111"/>
    </row>
    <row r="55" spans="2:8" x14ac:dyDescent="0.25">
      <c r="C55" s="57" t="s">
        <v>375</v>
      </c>
      <c r="D55" s="57" t="s">
        <v>504</v>
      </c>
      <c r="E55" s="92">
        <v>1.3170546158112001E-2</v>
      </c>
      <c r="F55" s="56"/>
      <c r="G55" s="92"/>
      <c r="H55" s="111"/>
    </row>
    <row r="56" spans="2:8" x14ac:dyDescent="0.25">
      <c r="C56" s="57" t="s">
        <v>376</v>
      </c>
      <c r="D56" s="57" t="s">
        <v>503</v>
      </c>
      <c r="E56" s="92">
        <v>8.6574729089519999E-3</v>
      </c>
      <c r="F56" s="56"/>
      <c r="G56" s="92"/>
      <c r="H56" s="111"/>
    </row>
    <row r="57" spans="2:8" x14ac:dyDescent="0.25">
      <c r="C57" s="57" t="s">
        <v>377</v>
      </c>
      <c r="D57" s="57" t="s">
        <v>505</v>
      </c>
      <c r="E57" s="92">
        <v>8.6574729089519999E-3</v>
      </c>
      <c r="F57" s="56"/>
      <c r="G57" s="92"/>
      <c r="H57" s="111"/>
    </row>
    <row r="58" spans="2:8" x14ac:dyDescent="0.25">
      <c r="C58" s="57" t="s">
        <v>378</v>
      </c>
      <c r="D58" s="57" t="s">
        <v>506</v>
      </c>
      <c r="E58" s="92">
        <v>8.6574729089519999E-3</v>
      </c>
      <c r="F58" s="56"/>
      <c r="G58" s="92"/>
      <c r="H58" s="111"/>
    </row>
    <row r="59" spans="2:8" x14ac:dyDescent="0.25">
      <c r="C59" s="57" t="s">
        <v>1249</v>
      </c>
      <c r="D59" s="57" t="s">
        <v>1234</v>
      </c>
      <c r="E59" s="92">
        <v>4.8859844659920005E-3</v>
      </c>
      <c r="F59" s="56"/>
      <c r="G59" s="92"/>
      <c r="H59" s="111"/>
    </row>
    <row r="60" spans="2:8" x14ac:dyDescent="0.25">
      <c r="C60" s="57" t="s">
        <v>1250</v>
      </c>
      <c r="D60" s="57" t="s">
        <v>1235</v>
      </c>
      <c r="E60" s="92">
        <v>4.8859844659920005E-3</v>
      </c>
      <c r="F60" s="56"/>
      <c r="G60" s="92"/>
      <c r="H60" s="111"/>
    </row>
    <row r="61" spans="2:8" x14ac:dyDescent="0.25">
      <c r="C61" s="57" t="s">
        <v>1251</v>
      </c>
      <c r="D61" s="57" t="s">
        <v>1236</v>
      </c>
      <c r="E61" s="92">
        <v>4.8859844659920005E-3</v>
      </c>
      <c r="F61" s="56"/>
      <c r="G61" s="92"/>
      <c r="H61" s="111"/>
    </row>
    <row r="62" spans="2:8" x14ac:dyDescent="0.25">
      <c r="B62" s="95" t="s">
        <v>379</v>
      </c>
      <c r="C62" s="89"/>
      <c r="D62" s="89"/>
      <c r="E62" s="56"/>
      <c r="F62" s="56"/>
      <c r="G62" s="56"/>
    </row>
    <row r="63" spans="2:8" x14ac:dyDescent="0.25">
      <c r="C63" s="36" t="s">
        <v>363</v>
      </c>
      <c r="D63" s="36" t="s">
        <v>512</v>
      </c>
      <c r="E63" s="56">
        <v>20.785255033525459</v>
      </c>
      <c r="F63" s="56"/>
      <c r="G63" s="56"/>
      <c r="H63" s="109"/>
    </row>
    <row r="64" spans="2:8" x14ac:dyDescent="0.25">
      <c r="C64" s="36" t="s">
        <v>364</v>
      </c>
      <c r="D64" s="36" t="s">
        <v>507</v>
      </c>
      <c r="E64" s="56">
        <v>20.785255033525459</v>
      </c>
      <c r="F64" s="56"/>
      <c r="G64" s="56"/>
      <c r="H64" s="109"/>
    </row>
    <row r="65" spans="2:8" x14ac:dyDescent="0.25">
      <c r="C65" s="36" t="s">
        <v>365</v>
      </c>
      <c r="D65" s="36" t="s">
        <v>508</v>
      </c>
      <c r="E65" s="56">
        <v>20.785255033525459</v>
      </c>
      <c r="F65" s="56"/>
      <c r="G65" s="56"/>
      <c r="H65" s="109"/>
    </row>
    <row r="66" spans="2:8" x14ac:dyDescent="0.25">
      <c r="C66" s="94" t="s">
        <v>367</v>
      </c>
      <c r="D66" s="36" t="s">
        <v>509</v>
      </c>
      <c r="E66" s="56">
        <v>0</v>
      </c>
      <c r="F66" s="56"/>
      <c r="G66" s="56"/>
      <c r="H66" s="109"/>
    </row>
    <row r="67" spans="2:8" x14ac:dyDescent="0.25">
      <c r="C67" s="94" t="s">
        <v>368</v>
      </c>
      <c r="D67" s="36" t="s">
        <v>510</v>
      </c>
      <c r="E67" s="56">
        <v>0</v>
      </c>
      <c r="F67" s="56"/>
      <c r="G67" s="56"/>
      <c r="H67" s="109"/>
    </row>
    <row r="68" spans="2:8" x14ac:dyDescent="0.25">
      <c r="C68" s="94" t="s">
        <v>369</v>
      </c>
      <c r="D68" s="36" t="s">
        <v>511</v>
      </c>
      <c r="E68" s="56">
        <v>0</v>
      </c>
      <c r="F68" s="56"/>
      <c r="G68" s="56"/>
      <c r="H68" s="109"/>
    </row>
    <row r="69" spans="2:8" x14ac:dyDescent="0.25">
      <c r="C69" s="36" t="s">
        <v>380</v>
      </c>
      <c r="D69" s="57" t="s">
        <v>821</v>
      </c>
      <c r="E69" s="56">
        <v>5.3392890337040271</v>
      </c>
      <c r="F69" s="56"/>
      <c r="G69" s="56"/>
      <c r="H69" s="109"/>
    </row>
    <row r="70" spans="2:8" x14ac:dyDescent="0.25">
      <c r="C70" s="36" t="s">
        <v>381</v>
      </c>
      <c r="D70" s="57" t="s">
        <v>822</v>
      </c>
      <c r="E70" s="56">
        <v>5.3392890337040271</v>
      </c>
      <c r="F70" s="56"/>
      <c r="G70" s="56"/>
      <c r="H70" s="109"/>
    </row>
    <row r="71" spans="2:8" x14ac:dyDescent="0.25">
      <c r="C71" s="57" t="s">
        <v>382</v>
      </c>
      <c r="D71" s="57" t="s">
        <v>823</v>
      </c>
      <c r="E71" s="56">
        <v>5.3392890337040271</v>
      </c>
      <c r="F71" s="56"/>
      <c r="G71" s="56"/>
      <c r="H71" s="109"/>
    </row>
    <row r="72" spans="2:8" x14ac:dyDescent="0.25">
      <c r="C72" s="36" t="s">
        <v>383</v>
      </c>
      <c r="D72" s="57" t="s">
        <v>824</v>
      </c>
      <c r="E72" s="56">
        <v>15.445965999821432</v>
      </c>
      <c r="F72" s="56"/>
      <c r="G72" s="56"/>
      <c r="H72" s="109"/>
    </row>
    <row r="73" spans="2:8" x14ac:dyDescent="0.25">
      <c r="C73" s="36" t="s">
        <v>384</v>
      </c>
      <c r="D73" s="57" t="s">
        <v>825</v>
      </c>
      <c r="E73" s="56">
        <v>15.445965999821432</v>
      </c>
      <c r="F73" s="56"/>
      <c r="G73" s="56"/>
      <c r="H73" s="109"/>
    </row>
    <row r="74" spans="2:8" x14ac:dyDescent="0.25">
      <c r="C74" s="57" t="s">
        <v>385</v>
      </c>
      <c r="D74" s="57" t="s">
        <v>826</v>
      </c>
      <c r="E74" s="56">
        <v>15.445965999821432</v>
      </c>
      <c r="F74" s="56"/>
      <c r="G74" s="56"/>
      <c r="H74" s="109"/>
    </row>
    <row r="75" spans="2:8" x14ac:dyDescent="0.25">
      <c r="B75" s="37" t="s">
        <v>386</v>
      </c>
      <c r="C75" s="89"/>
      <c r="D75" s="89"/>
      <c r="E75" s="56"/>
      <c r="F75" s="56"/>
      <c r="G75" s="56"/>
    </row>
    <row r="76" spans="2:8" x14ac:dyDescent="0.25">
      <c r="C76" s="36" t="s">
        <v>387</v>
      </c>
      <c r="D76" s="36" t="s">
        <v>513</v>
      </c>
      <c r="E76" s="54">
        <v>-0.01</v>
      </c>
      <c r="F76" s="54"/>
      <c r="G76" s="54"/>
      <c r="H76" s="110"/>
    </row>
    <row r="77" spans="2:8" x14ac:dyDescent="0.25">
      <c r="C77" s="36" t="s">
        <v>365</v>
      </c>
      <c r="D77" s="36" t="s">
        <v>514</v>
      </c>
      <c r="E77" s="54">
        <v>-0.02</v>
      </c>
      <c r="F77" s="54"/>
      <c r="G77" s="54"/>
      <c r="H77" s="110"/>
    </row>
    <row r="78" spans="2:8" x14ac:dyDescent="0.25">
      <c r="C78" s="55" t="s">
        <v>388</v>
      </c>
      <c r="D78" s="36" t="s">
        <v>515</v>
      </c>
      <c r="E78" s="54">
        <v>-0.01</v>
      </c>
      <c r="F78" s="54"/>
      <c r="G78" s="54"/>
      <c r="H78" s="110"/>
    </row>
    <row r="79" spans="2:8" x14ac:dyDescent="0.25">
      <c r="C79" s="94" t="s">
        <v>369</v>
      </c>
      <c r="D79" s="36" t="s">
        <v>516</v>
      </c>
      <c r="E79" s="54">
        <v>-0.02</v>
      </c>
      <c r="F79" s="54"/>
      <c r="G79" s="54"/>
      <c r="H79" s="110"/>
    </row>
    <row r="80" spans="2:8" x14ac:dyDescent="0.25">
      <c r="C80" s="36" t="s">
        <v>389</v>
      </c>
      <c r="D80" s="36" t="s">
        <v>517</v>
      </c>
      <c r="E80" s="54">
        <v>-0.01</v>
      </c>
      <c r="F80" s="54"/>
      <c r="G80" s="54"/>
      <c r="H80" s="110"/>
    </row>
    <row r="81" spans="2:8" x14ac:dyDescent="0.25">
      <c r="C81" s="57" t="s">
        <v>372</v>
      </c>
      <c r="D81" s="36" t="s">
        <v>518</v>
      </c>
      <c r="E81" s="54">
        <v>-0.02</v>
      </c>
      <c r="F81" s="54"/>
      <c r="G81" s="54"/>
      <c r="H81" s="110"/>
    </row>
    <row r="82" spans="2:8" x14ac:dyDescent="0.25">
      <c r="B82" s="37" t="s">
        <v>390</v>
      </c>
      <c r="C82" s="89"/>
      <c r="D82" s="89"/>
      <c r="E82" s="56"/>
      <c r="F82" s="56"/>
      <c r="G82" s="56"/>
    </row>
    <row r="83" spans="2:8" x14ac:dyDescent="0.25">
      <c r="C83" s="36" t="s">
        <v>387</v>
      </c>
      <c r="D83" s="36" t="s">
        <v>524</v>
      </c>
      <c r="E83" s="56">
        <v>-0.57207970764000005</v>
      </c>
      <c r="F83" s="56"/>
      <c r="G83" s="56"/>
      <c r="H83" s="109"/>
    </row>
    <row r="84" spans="2:8" x14ac:dyDescent="0.25">
      <c r="C84" s="36" t="s">
        <v>365</v>
      </c>
      <c r="D84" s="36" t="s">
        <v>519</v>
      </c>
      <c r="E84" s="56">
        <v>-3.27356721594</v>
      </c>
      <c r="F84" s="56"/>
      <c r="G84" s="56"/>
      <c r="H84" s="109"/>
    </row>
    <row r="85" spans="2:8" x14ac:dyDescent="0.25">
      <c r="C85" s="55" t="s">
        <v>391</v>
      </c>
      <c r="D85" s="36" t="s">
        <v>520</v>
      </c>
      <c r="E85" s="92">
        <v>-1.4645378432755589E-3</v>
      </c>
      <c r="F85" s="56"/>
      <c r="G85" s="92"/>
      <c r="H85" s="111"/>
    </row>
    <row r="86" spans="2:8" x14ac:dyDescent="0.25">
      <c r="C86" s="94" t="s">
        <v>369</v>
      </c>
      <c r="D86" s="36" t="s">
        <v>521</v>
      </c>
      <c r="E86" s="92">
        <v>-8.3846978775049992E-3</v>
      </c>
      <c r="F86" s="56"/>
      <c r="G86" s="92"/>
      <c r="H86" s="111"/>
    </row>
    <row r="87" spans="2:8" x14ac:dyDescent="0.25">
      <c r="C87" s="36" t="s">
        <v>389</v>
      </c>
      <c r="D87" s="36" t="s">
        <v>522</v>
      </c>
      <c r="E87" s="56">
        <v>-0.57207970764000005</v>
      </c>
      <c r="F87" s="56"/>
      <c r="G87" s="56"/>
      <c r="H87" s="109"/>
    </row>
    <row r="88" spans="2:8" x14ac:dyDescent="0.25">
      <c r="C88" s="57" t="s">
        <v>372</v>
      </c>
      <c r="D88" s="36" t="s">
        <v>523</v>
      </c>
      <c r="E88" s="56">
        <v>-3.27356721594</v>
      </c>
      <c r="F88" s="56"/>
      <c r="G88" s="56"/>
      <c r="H88" s="109"/>
    </row>
    <row r="89" spans="2:8" x14ac:dyDescent="0.25">
      <c r="B89" s="37" t="s">
        <v>345</v>
      </c>
      <c r="C89" s="89"/>
      <c r="D89" s="89"/>
      <c r="E89" s="56"/>
      <c r="F89" s="56"/>
      <c r="G89" s="56"/>
    </row>
    <row r="90" spans="2:8" x14ac:dyDescent="0.25">
      <c r="C90" s="36" t="s">
        <v>392</v>
      </c>
      <c r="D90" s="36" t="s">
        <v>533</v>
      </c>
      <c r="E90" s="56">
        <v>1.08059500332</v>
      </c>
      <c r="F90" s="56"/>
      <c r="G90" s="56"/>
      <c r="H90" s="109"/>
    </row>
    <row r="91" spans="2:8" x14ac:dyDescent="0.25">
      <c r="C91" s="36" t="s">
        <v>387</v>
      </c>
      <c r="D91" s="36" t="s">
        <v>525</v>
      </c>
      <c r="E91" s="56">
        <v>1.08059500332</v>
      </c>
      <c r="F91" s="56"/>
      <c r="G91" s="56"/>
      <c r="H91" s="109"/>
    </row>
    <row r="92" spans="2:8" x14ac:dyDescent="0.25">
      <c r="C92" s="36" t="s">
        <v>365</v>
      </c>
      <c r="D92" s="36" t="s">
        <v>526</v>
      </c>
      <c r="E92" s="56">
        <v>1.08059500332</v>
      </c>
      <c r="F92" s="56"/>
      <c r="G92" s="56"/>
      <c r="H92" s="109"/>
    </row>
    <row r="93" spans="2:8" x14ac:dyDescent="0.25">
      <c r="C93" s="55" t="s">
        <v>393</v>
      </c>
      <c r="D93" s="36" t="s">
        <v>527</v>
      </c>
      <c r="E93" s="92">
        <v>2.7226756456199997E-3</v>
      </c>
      <c r="F93" s="56"/>
      <c r="G93" s="92"/>
      <c r="H93" s="111"/>
    </row>
    <row r="94" spans="2:8" x14ac:dyDescent="0.25">
      <c r="C94" s="55" t="s">
        <v>391</v>
      </c>
      <c r="D94" s="36" t="s">
        <v>528</v>
      </c>
      <c r="E94" s="92">
        <v>2.7226756456199997E-3</v>
      </c>
      <c r="F94" s="56"/>
      <c r="G94" s="92"/>
      <c r="H94" s="111"/>
    </row>
    <row r="95" spans="2:8" x14ac:dyDescent="0.25">
      <c r="C95" s="94" t="s">
        <v>369</v>
      </c>
      <c r="D95" s="36" t="s">
        <v>529</v>
      </c>
      <c r="E95" s="92">
        <v>2.7226756456199997E-3</v>
      </c>
      <c r="F95" s="56"/>
      <c r="G95" s="92"/>
      <c r="H95" s="111"/>
    </row>
    <row r="96" spans="2:8" x14ac:dyDescent="0.25">
      <c r="C96" s="36" t="s">
        <v>394</v>
      </c>
      <c r="D96" s="36" t="s">
        <v>530</v>
      </c>
      <c r="E96" s="56">
        <v>1.08059500332</v>
      </c>
      <c r="F96" s="56"/>
      <c r="G96" s="56"/>
      <c r="H96" s="109"/>
    </row>
    <row r="97" spans="2:8" x14ac:dyDescent="0.25">
      <c r="C97" s="36" t="s">
        <v>389</v>
      </c>
      <c r="D97" s="36" t="s">
        <v>531</v>
      </c>
      <c r="E97" s="56">
        <v>1.08059500332</v>
      </c>
      <c r="F97" s="56"/>
      <c r="G97" s="56"/>
      <c r="H97" s="109"/>
    </row>
    <row r="98" spans="2:8" x14ac:dyDescent="0.25">
      <c r="C98" s="57" t="s">
        <v>372</v>
      </c>
      <c r="D98" s="36" t="s">
        <v>532</v>
      </c>
      <c r="E98" s="56">
        <v>1.08059500332</v>
      </c>
      <c r="F98" s="56"/>
      <c r="G98" s="56"/>
      <c r="H98" s="109"/>
    </row>
    <row r="99" spans="2:8" x14ac:dyDescent="0.25">
      <c r="C99" s="57"/>
      <c r="D99" s="57"/>
      <c r="E99" s="56"/>
      <c r="F99" s="56"/>
      <c r="G99" s="56"/>
    </row>
    <row r="100" spans="2:8" x14ac:dyDescent="0.25">
      <c r="C100" s="57"/>
      <c r="D100" s="57"/>
      <c r="E100" s="56"/>
      <c r="F100" s="56"/>
      <c r="G100" s="56"/>
    </row>
    <row r="101" spans="2:8" x14ac:dyDescent="0.25">
      <c r="B101" s="88" t="s">
        <v>395</v>
      </c>
      <c r="C101" s="89"/>
      <c r="D101" s="89"/>
      <c r="E101" s="56"/>
      <c r="F101" s="56"/>
      <c r="G101" s="56"/>
    </row>
    <row r="102" spans="2:8" x14ac:dyDescent="0.25">
      <c r="B102" s="37" t="s">
        <v>348</v>
      </c>
      <c r="C102" s="89"/>
      <c r="D102" s="89"/>
      <c r="E102" s="56"/>
      <c r="F102" s="56"/>
      <c r="G102" s="56"/>
    </row>
    <row r="103" spans="2:8" x14ac:dyDescent="0.25">
      <c r="B103" s="31"/>
      <c r="C103" s="36" t="s">
        <v>363</v>
      </c>
      <c r="D103" s="36" t="s">
        <v>553</v>
      </c>
      <c r="E103" s="56">
        <v>1.8221798095199999</v>
      </c>
      <c r="F103" s="56"/>
      <c r="G103" s="56"/>
      <c r="H103" s="109"/>
    </row>
    <row r="104" spans="2:8" x14ac:dyDescent="0.25">
      <c r="B104" s="31"/>
      <c r="C104" s="36" t="s">
        <v>364</v>
      </c>
      <c r="D104" s="36" t="s">
        <v>554</v>
      </c>
      <c r="E104" s="56">
        <v>9.9160482657599989</v>
      </c>
      <c r="F104" s="56"/>
      <c r="G104" s="56"/>
      <c r="H104" s="109"/>
    </row>
    <row r="105" spans="2:8" x14ac:dyDescent="0.25">
      <c r="B105" s="31"/>
      <c r="C105" s="36" t="s">
        <v>396</v>
      </c>
      <c r="D105" s="36" t="s">
        <v>555</v>
      </c>
      <c r="E105" s="56">
        <v>27.290320868160002</v>
      </c>
      <c r="F105" s="56"/>
      <c r="G105" s="56"/>
      <c r="H105" s="109"/>
    </row>
    <row r="106" spans="2:8" x14ac:dyDescent="0.25">
      <c r="B106" s="31"/>
      <c r="C106" s="57" t="s">
        <v>397</v>
      </c>
      <c r="D106" s="57" t="s">
        <v>556</v>
      </c>
      <c r="E106" s="56">
        <v>1.8221798095199999</v>
      </c>
      <c r="F106" s="56"/>
      <c r="G106" s="56"/>
      <c r="H106" s="109"/>
    </row>
    <row r="107" spans="2:8" x14ac:dyDescent="0.25">
      <c r="C107" s="57" t="s">
        <v>398</v>
      </c>
      <c r="D107" s="57" t="s">
        <v>557</v>
      </c>
      <c r="E107" s="56">
        <v>9.9160482657599989</v>
      </c>
      <c r="F107" s="56"/>
      <c r="G107" s="56"/>
      <c r="H107" s="109"/>
    </row>
    <row r="108" spans="2:8" x14ac:dyDescent="0.25">
      <c r="C108" s="57" t="s">
        <v>399</v>
      </c>
      <c r="D108" s="57" t="s">
        <v>558</v>
      </c>
      <c r="E108" s="56">
        <v>27.290320868160002</v>
      </c>
      <c r="F108" s="56"/>
      <c r="G108" s="56"/>
      <c r="H108" s="109"/>
    </row>
    <row r="109" spans="2:8" x14ac:dyDescent="0.25">
      <c r="B109" s="37" t="s">
        <v>400</v>
      </c>
      <c r="C109" s="89"/>
      <c r="D109" s="89"/>
      <c r="E109" s="56"/>
      <c r="F109" s="56"/>
      <c r="G109" s="56"/>
    </row>
    <row r="110" spans="2:8" x14ac:dyDescent="0.25">
      <c r="B110" s="31"/>
      <c r="C110" s="36" t="s">
        <v>363</v>
      </c>
      <c r="D110" s="36" t="s">
        <v>567</v>
      </c>
      <c r="E110" s="92">
        <v>8.1870962604480013E-3</v>
      </c>
      <c r="F110" s="56"/>
      <c r="G110" s="92"/>
      <c r="H110" s="111"/>
    </row>
    <row r="111" spans="2:8" x14ac:dyDescent="0.25">
      <c r="B111" s="31"/>
      <c r="C111" s="36" t="s">
        <v>364</v>
      </c>
      <c r="D111" s="36" t="s">
        <v>568</v>
      </c>
      <c r="E111" s="92">
        <v>8.1870962604480013E-3</v>
      </c>
      <c r="F111" s="56"/>
      <c r="G111" s="92"/>
      <c r="H111" s="111"/>
    </row>
    <row r="112" spans="2:8" x14ac:dyDescent="0.25">
      <c r="B112" s="31"/>
      <c r="C112" s="36" t="s">
        <v>396</v>
      </c>
      <c r="D112" s="36" t="s">
        <v>569</v>
      </c>
      <c r="E112" s="92">
        <v>8.1870962604480013E-3</v>
      </c>
      <c r="F112" s="56"/>
      <c r="G112" s="92"/>
      <c r="H112" s="111"/>
    </row>
    <row r="113" spans="2:8" x14ac:dyDescent="0.25">
      <c r="B113" s="31"/>
      <c r="C113" s="57" t="s">
        <v>401</v>
      </c>
      <c r="D113" s="57" t="s">
        <v>570</v>
      </c>
      <c r="E113" s="92">
        <v>1.3170546158112001E-2</v>
      </c>
      <c r="F113" s="56"/>
      <c r="G113" s="92"/>
      <c r="H113" s="111"/>
    </row>
    <row r="114" spans="2:8" x14ac:dyDescent="0.25">
      <c r="C114" s="57" t="s">
        <v>402</v>
      </c>
      <c r="D114" s="57" t="s">
        <v>571</v>
      </c>
      <c r="E114" s="92">
        <v>1.3170546158112001E-2</v>
      </c>
      <c r="F114" s="56"/>
      <c r="G114" s="92"/>
      <c r="H114" s="111"/>
    </row>
    <row r="115" spans="2:8" x14ac:dyDescent="0.25">
      <c r="C115" s="57" t="s">
        <v>403</v>
      </c>
      <c r="D115" s="57" t="s">
        <v>572</v>
      </c>
      <c r="E115" s="92">
        <v>1.3170546158112001E-2</v>
      </c>
      <c r="F115" s="56"/>
      <c r="G115" s="92"/>
      <c r="H115" s="111"/>
    </row>
    <row r="116" spans="2:8" x14ac:dyDescent="0.25">
      <c r="C116" s="57" t="s">
        <v>404</v>
      </c>
      <c r="D116" s="57" t="s">
        <v>575</v>
      </c>
      <c r="E116" s="92">
        <v>8.6574729089519999E-3</v>
      </c>
      <c r="F116" s="56"/>
      <c r="G116" s="92"/>
      <c r="H116" s="111"/>
    </row>
    <row r="117" spans="2:8" x14ac:dyDescent="0.25">
      <c r="C117" s="57" t="s">
        <v>405</v>
      </c>
      <c r="D117" s="57" t="s">
        <v>573</v>
      </c>
      <c r="E117" s="92">
        <v>8.6574729089519999E-3</v>
      </c>
      <c r="F117" s="56"/>
      <c r="G117" s="92"/>
      <c r="H117" s="111"/>
    </row>
    <row r="118" spans="2:8" x14ac:dyDescent="0.25">
      <c r="C118" s="57" t="s">
        <v>406</v>
      </c>
      <c r="D118" s="57" t="s">
        <v>574</v>
      </c>
      <c r="E118" s="92">
        <v>8.6574729089519999E-3</v>
      </c>
      <c r="F118" s="56"/>
      <c r="G118" s="92"/>
      <c r="H118" s="111"/>
    </row>
    <row r="119" spans="2:8" x14ac:dyDescent="0.25">
      <c r="C119" s="57" t="s">
        <v>1252</v>
      </c>
      <c r="D119" s="57" t="s">
        <v>1237</v>
      </c>
      <c r="E119" s="92">
        <v>4.8859844659920005E-3</v>
      </c>
      <c r="F119" s="56"/>
      <c r="G119" s="92"/>
      <c r="H119" s="111"/>
    </row>
    <row r="120" spans="2:8" x14ac:dyDescent="0.25">
      <c r="C120" s="57" t="s">
        <v>1253</v>
      </c>
      <c r="D120" s="57" t="s">
        <v>1238</v>
      </c>
      <c r="E120" s="92">
        <v>4.8859844659920005E-3</v>
      </c>
      <c r="F120" s="56"/>
      <c r="G120" s="92"/>
      <c r="H120" s="111"/>
    </row>
    <row r="121" spans="2:8" x14ac:dyDescent="0.25">
      <c r="C121" s="57" t="s">
        <v>1254</v>
      </c>
      <c r="D121" s="57" t="s">
        <v>1239</v>
      </c>
      <c r="E121" s="92">
        <v>4.8859844659920005E-3</v>
      </c>
      <c r="F121" s="56"/>
      <c r="G121" s="92"/>
      <c r="H121" s="111"/>
    </row>
    <row r="122" spans="2:8" x14ac:dyDescent="0.25">
      <c r="B122" s="37" t="s">
        <v>407</v>
      </c>
      <c r="C122" s="89"/>
      <c r="D122" s="89"/>
      <c r="E122" s="56"/>
      <c r="F122" s="56"/>
      <c r="G122" s="56"/>
    </row>
    <row r="123" spans="2:8" x14ac:dyDescent="0.25">
      <c r="B123" s="37"/>
      <c r="C123" s="57" t="s">
        <v>408</v>
      </c>
      <c r="D123" s="36" t="s">
        <v>584</v>
      </c>
      <c r="E123" s="92">
        <v>9.5330726837010004E-3</v>
      </c>
      <c r="F123" s="56"/>
      <c r="G123" s="92"/>
      <c r="H123" s="111"/>
    </row>
    <row r="124" spans="2:8" x14ac:dyDescent="0.25">
      <c r="B124" s="37"/>
      <c r="C124" s="57" t="s">
        <v>409</v>
      </c>
      <c r="D124" s="36" t="s">
        <v>576</v>
      </c>
      <c r="E124" s="92">
        <v>9.5330726837010004E-3</v>
      </c>
      <c r="F124" s="56"/>
      <c r="G124" s="92"/>
      <c r="H124" s="111"/>
    </row>
    <row r="125" spans="2:8" x14ac:dyDescent="0.25">
      <c r="B125" s="37"/>
      <c r="C125" s="57" t="s">
        <v>410</v>
      </c>
      <c r="D125" s="36" t="s">
        <v>577</v>
      </c>
      <c r="E125" s="92">
        <v>9.5330726837010004E-3</v>
      </c>
      <c r="F125" s="56"/>
      <c r="G125" s="92"/>
      <c r="H125" s="111"/>
    </row>
    <row r="126" spans="2:8" x14ac:dyDescent="0.25">
      <c r="B126" s="31"/>
      <c r="C126" s="57" t="s">
        <v>401</v>
      </c>
      <c r="D126" s="57" t="s">
        <v>578</v>
      </c>
      <c r="E126" s="92">
        <v>9.5330726837010004E-3</v>
      </c>
      <c r="F126" s="56"/>
      <c r="G126" s="92"/>
      <c r="H126" s="111"/>
    </row>
    <row r="127" spans="2:8" x14ac:dyDescent="0.25">
      <c r="C127" s="57" t="s">
        <v>402</v>
      </c>
      <c r="D127" s="57" t="s">
        <v>579</v>
      </c>
      <c r="E127" s="92">
        <v>9.5330726837010004E-3</v>
      </c>
      <c r="F127" s="56"/>
      <c r="G127" s="92"/>
      <c r="H127" s="111"/>
    </row>
    <row r="128" spans="2:8" x14ac:dyDescent="0.25">
      <c r="C128" s="57" t="s">
        <v>403</v>
      </c>
      <c r="D128" s="57" t="s">
        <v>580</v>
      </c>
      <c r="E128" s="92">
        <v>9.5330726837010004E-3</v>
      </c>
      <c r="F128" s="56"/>
      <c r="G128" s="92"/>
      <c r="H128" s="111"/>
    </row>
    <row r="129" spans="2:8" x14ac:dyDescent="0.25">
      <c r="C129" s="57" t="s">
        <v>404</v>
      </c>
      <c r="D129" s="57" t="s">
        <v>581</v>
      </c>
      <c r="E129" s="92">
        <v>9.5330726837010004E-3</v>
      </c>
      <c r="F129" s="56"/>
      <c r="G129" s="92"/>
      <c r="H129" s="111"/>
    </row>
    <row r="130" spans="2:8" x14ac:dyDescent="0.25">
      <c r="C130" s="57" t="s">
        <v>405</v>
      </c>
      <c r="D130" s="57" t="s">
        <v>582</v>
      </c>
      <c r="E130" s="92">
        <v>9.5330726837010004E-3</v>
      </c>
      <c r="F130" s="56"/>
      <c r="G130" s="92"/>
      <c r="H130" s="111"/>
    </row>
    <row r="131" spans="2:8" x14ac:dyDescent="0.25">
      <c r="C131" s="57" t="s">
        <v>406</v>
      </c>
      <c r="D131" s="57" t="s">
        <v>583</v>
      </c>
      <c r="E131" s="92">
        <v>9.5330726837010004E-3</v>
      </c>
      <c r="F131" s="56"/>
      <c r="G131" s="92"/>
      <c r="H131" s="111"/>
    </row>
    <row r="132" spans="2:8" x14ac:dyDescent="0.25">
      <c r="C132" s="57" t="s">
        <v>1252</v>
      </c>
      <c r="D132" s="57" t="s">
        <v>1240</v>
      </c>
      <c r="E132" s="92">
        <v>9.5330726837010004E-3</v>
      </c>
      <c r="F132" s="56"/>
      <c r="G132" s="92"/>
      <c r="H132" s="111"/>
    </row>
    <row r="133" spans="2:8" x14ac:dyDescent="0.25">
      <c r="C133" s="57" t="s">
        <v>1253</v>
      </c>
      <c r="D133" s="57" t="s">
        <v>1241</v>
      </c>
      <c r="E133" s="92">
        <v>9.5330726837010004E-3</v>
      </c>
      <c r="F133" s="56"/>
      <c r="G133" s="92"/>
      <c r="H133" s="111"/>
    </row>
    <row r="134" spans="2:8" x14ac:dyDescent="0.25">
      <c r="C134" s="57" t="s">
        <v>1254</v>
      </c>
      <c r="D134" s="57" t="s">
        <v>1242</v>
      </c>
      <c r="E134" s="92">
        <v>9.5330726837010004E-3</v>
      </c>
      <c r="F134" s="56"/>
      <c r="G134" s="92"/>
      <c r="H134" s="111"/>
    </row>
    <row r="135" spans="2:8" x14ac:dyDescent="0.25">
      <c r="B135" s="37" t="s">
        <v>411</v>
      </c>
      <c r="C135" s="89"/>
      <c r="D135" s="89"/>
      <c r="E135" s="56"/>
      <c r="F135" s="56"/>
      <c r="G135" s="56"/>
    </row>
    <row r="136" spans="2:8" x14ac:dyDescent="0.25">
      <c r="B136" s="31"/>
      <c r="C136" s="36" t="s">
        <v>363</v>
      </c>
      <c r="D136" s="36" t="s">
        <v>586</v>
      </c>
      <c r="E136" s="56">
        <v>20.785255033525459</v>
      </c>
      <c r="F136" s="56"/>
      <c r="G136" s="56"/>
      <c r="H136" s="109"/>
    </row>
    <row r="137" spans="2:8" x14ac:dyDescent="0.25">
      <c r="B137" s="31"/>
      <c r="C137" s="36" t="s">
        <v>364</v>
      </c>
      <c r="D137" s="36" t="s">
        <v>585</v>
      </c>
      <c r="E137" s="56">
        <v>20.785255033525459</v>
      </c>
      <c r="F137" s="56"/>
      <c r="G137" s="56"/>
      <c r="H137" s="109"/>
    </row>
    <row r="138" spans="2:8" x14ac:dyDescent="0.25">
      <c r="B138" s="31"/>
      <c r="C138" s="36" t="s">
        <v>396</v>
      </c>
      <c r="D138" s="36" t="s">
        <v>587</v>
      </c>
      <c r="E138" s="56">
        <v>20.785255033525459</v>
      </c>
      <c r="F138" s="56"/>
      <c r="G138" s="56"/>
      <c r="H138" s="109"/>
    </row>
    <row r="139" spans="2:8" x14ac:dyDescent="0.25">
      <c r="B139" s="31"/>
      <c r="C139" s="57" t="s">
        <v>412</v>
      </c>
      <c r="D139" s="57" t="s">
        <v>588</v>
      </c>
      <c r="E139" s="56">
        <v>5.3392890337040271</v>
      </c>
      <c r="F139" s="56"/>
      <c r="G139" s="56"/>
      <c r="H139" s="109"/>
    </row>
    <row r="140" spans="2:8" x14ac:dyDescent="0.25">
      <c r="C140" s="57" t="s">
        <v>413</v>
      </c>
      <c r="D140" s="57" t="s">
        <v>589</v>
      </c>
      <c r="E140" s="56">
        <v>5.3392890337040271</v>
      </c>
      <c r="F140" s="56"/>
      <c r="G140" s="56"/>
      <c r="H140" s="109"/>
    </row>
    <row r="141" spans="2:8" x14ac:dyDescent="0.25">
      <c r="C141" s="57" t="s">
        <v>414</v>
      </c>
      <c r="D141" s="57" t="s">
        <v>590</v>
      </c>
      <c r="E141" s="56">
        <v>5.3392890337040271</v>
      </c>
      <c r="F141" s="56"/>
      <c r="G141" s="56"/>
      <c r="H141" s="109"/>
    </row>
    <row r="142" spans="2:8" x14ac:dyDescent="0.25">
      <c r="C142" s="57" t="s">
        <v>415</v>
      </c>
      <c r="D142" s="57" t="s">
        <v>591</v>
      </c>
      <c r="E142" s="56">
        <v>15.445965999821432</v>
      </c>
      <c r="F142" s="56"/>
      <c r="G142" s="56"/>
      <c r="H142" s="109"/>
    </row>
    <row r="143" spans="2:8" x14ac:dyDescent="0.25">
      <c r="C143" s="57" t="s">
        <v>416</v>
      </c>
      <c r="D143" s="57" t="s">
        <v>592</v>
      </c>
      <c r="E143" s="56">
        <v>15.445965999821432</v>
      </c>
      <c r="F143" s="56"/>
      <c r="G143" s="56"/>
      <c r="H143" s="109"/>
    </row>
    <row r="144" spans="2:8" x14ac:dyDescent="0.25">
      <c r="C144" s="57" t="s">
        <v>417</v>
      </c>
      <c r="D144" s="57" t="s">
        <v>593</v>
      </c>
      <c r="E144" s="56">
        <v>15.445965999821432</v>
      </c>
      <c r="F144" s="56"/>
      <c r="G144" s="56"/>
      <c r="H144" s="109"/>
    </row>
    <row r="145" spans="2:8" x14ac:dyDescent="0.25">
      <c r="B145" s="37" t="s">
        <v>418</v>
      </c>
      <c r="C145" s="89"/>
      <c r="D145" s="89"/>
      <c r="E145" s="56"/>
      <c r="F145" s="56"/>
      <c r="G145" s="56"/>
    </row>
    <row r="146" spans="2:8" x14ac:dyDescent="0.25">
      <c r="B146" s="37"/>
      <c r="C146" s="57" t="s">
        <v>419</v>
      </c>
      <c r="D146" s="57" t="s">
        <v>632</v>
      </c>
      <c r="E146" s="56">
        <v>2.612491553878153</v>
      </c>
      <c r="F146" s="56"/>
      <c r="G146" s="56"/>
      <c r="H146" s="109"/>
    </row>
    <row r="147" spans="2:8" x14ac:dyDescent="0.25">
      <c r="B147" s="37"/>
      <c r="C147" s="57" t="s">
        <v>420</v>
      </c>
      <c r="D147" s="57" t="s">
        <v>633</v>
      </c>
      <c r="E147" s="56">
        <v>2.612491553878153</v>
      </c>
      <c r="F147" s="56"/>
      <c r="G147" s="56"/>
      <c r="H147" s="109"/>
    </row>
    <row r="148" spans="2:8" x14ac:dyDescent="0.25">
      <c r="B148" s="37"/>
      <c r="C148" s="57" t="s">
        <v>421</v>
      </c>
      <c r="D148" s="57" t="s">
        <v>634</v>
      </c>
      <c r="E148" s="56">
        <v>2.612491553878153</v>
      </c>
      <c r="F148" s="56"/>
      <c r="G148" s="56"/>
      <c r="H148" s="109"/>
    </row>
    <row r="149" spans="2:8" x14ac:dyDescent="0.25">
      <c r="B149" s="37"/>
      <c r="C149" s="57" t="s">
        <v>422</v>
      </c>
      <c r="D149" s="57" t="s">
        <v>635</v>
      </c>
      <c r="E149" s="56">
        <v>2.4979998921544095</v>
      </c>
      <c r="F149" s="56"/>
      <c r="G149" s="56"/>
      <c r="H149" s="109"/>
    </row>
    <row r="150" spans="2:8" x14ac:dyDescent="0.25">
      <c r="B150" s="37"/>
      <c r="C150" s="57" t="s">
        <v>423</v>
      </c>
      <c r="D150" s="57" t="s">
        <v>636</v>
      </c>
      <c r="E150" s="56">
        <v>2.4979998921544095</v>
      </c>
      <c r="F150" s="56"/>
      <c r="G150" s="56"/>
      <c r="H150" s="109"/>
    </row>
    <row r="151" spans="2:8" x14ac:dyDescent="0.25">
      <c r="B151" s="37"/>
      <c r="C151" s="57" t="s">
        <v>424</v>
      </c>
      <c r="D151" s="57" t="s">
        <v>637</v>
      </c>
      <c r="E151" s="56">
        <v>2.4979998921544095</v>
      </c>
      <c r="F151" s="56"/>
      <c r="G151" s="56"/>
      <c r="H151" s="109"/>
    </row>
    <row r="152" spans="2:8" x14ac:dyDescent="0.25">
      <c r="B152" s="37"/>
      <c r="C152" s="57" t="s">
        <v>425</v>
      </c>
      <c r="D152" s="57" t="s">
        <v>638</v>
      </c>
      <c r="E152" s="56">
        <v>0.98879162397778708</v>
      </c>
      <c r="F152" s="56"/>
      <c r="G152" s="56"/>
      <c r="H152" s="109"/>
    </row>
    <row r="153" spans="2:8" x14ac:dyDescent="0.25">
      <c r="B153" s="37"/>
      <c r="C153" s="57" t="s">
        <v>426</v>
      </c>
      <c r="D153" s="57" t="s">
        <v>639</v>
      </c>
      <c r="E153" s="56">
        <v>0.98879162397778708</v>
      </c>
      <c r="F153" s="56"/>
      <c r="G153" s="56"/>
      <c r="H153" s="109"/>
    </row>
    <row r="154" spans="2:8" x14ac:dyDescent="0.25">
      <c r="B154" s="37"/>
      <c r="C154" s="57" t="s">
        <v>427</v>
      </c>
      <c r="D154" s="57" t="s">
        <v>640</v>
      </c>
      <c r="E154" s="56">
        <v>0.98879162397778708</v>
      </c>
      <c r="F154" s="56"/>
      <c r="G154" s="56"/>
      <c r="H154" s="109"/>
    </row>
    <row r="155" spans="2:8" x14ac:dyDescent="0.25">
      <c r="C155" s="57" t="s">
        <v>428</v>
      </c>
      <c r="D155" s="57" t="s">
        <v>649</v>
      </c>
      <c r="E155" s="56">
        <v>2.612491553878153</v>
      </c>
      <c r="F155" s="56"/>
      <c r="G155" s="56"/>
      <c r="H155" s="109"/>
    </row>
    <row r="156" spans="2:8" x14ac:dyDescent="0.25">
      <c r="C156" s="57" t="s">
        <v>429</v>
      </c>
      <c r="D156" s="57" t="s">
        <v>641</v>
      </c>
      <c r="E156" s="56">
        <v>2.612491553878153</v>
      </c>
      <c r="F156" s="56"/>
      <c r="G156" s="56"/>
      <c r="H156" s="109"/>
    </row>
    <row r="157" spans="2:8" x14ac:dyDescent="0.25">
      <c r="C157" s="57" t="s">
        <v>430</v>
      </c>
      <c r="D157" s="57" t="s">
        <v>642</v>
      </c>
      <c r="E157" s="56">
        <v>2.612491553878153</v>
      </c>
      <c r="F157" s="56"/>
      <c r="G157" s="56"/>
      <c r="H157" s="109"/>
    </row>
    <row r="158" spans="2:8" x14ac:dyDescent="0.25">
      <c r="C158" s="57" t="s">
        <v>431</v>
      </c>
      <c r="D158" s="57" t="s">
        <v>643</v>
      </c>
      <c r="E158" s="56">
        <v>2.4979998921544095</v>
      </c>
      <c r="F158" s="56"/>
      <c r="G158" s="56"/>
      <c r="H158" s="109"/>
    </row>
    <row r="159" spans="2:8" x14ac:dyDescent="0.25">
      <c r="C159" s="57" t="s">
        <v>432</v>
      </c>
      <c r="D159" s="57" t="s">
        <v>644</v>
      </c>
      <c r="E159" s="56">
        <v>2.4979998921544095</v>
      </c>
      <c r="F159" s="56"/>
      <c r="G159" s="56"/>
      <c r="H159" s="109"/>
    </row>
    <row r="160" spans="2:8" x14ac:dyDescent="0.25">
      <c r="C160" s="57" t="s">
        <v>433</v>
      </c>
      <c r="D160" s="57" t="s">
        <v>645</v>
      </c>
      <c r="E160" s="56">
        <v>2.4979998921544095</v>
      </c>
      <c r="F160" s="56"/>
      <c r="G160" s="56"/>
      <c r="H160" s="109"/>
    </row>
    <row r="161" spans="2:8" x14ac:dyDescent="0.25">
      <c r="C161" s="57" t="s">
        <v>434</v>
      </c>
      <c r="D161" s="57" t="s">
        <v>646</v>
      </c>
      <c r="E161" s="56">
        <v>0.98879162397778708</v>
      </c>
      <c r="F161" s="56"/>
      <c r="G161" s="56"/>
      <c r="H161" s="109"/>
    </row>
    <row r="162" spans="2:8" x14ac:dyDescent="0.25">
      <c r="C162" s="57" t="s">
        <v>435</v>
      </c>
      <c r="D162" s="57" t="s">
        <v>647</v>
      </c>
      <c r="E162" s="56">
        <v>0.98879162397778708</v>
      </c>
      <c r="F162" s="56"/>
      <c r="G162" s="56"/>
      <c r="H162" s="109"/>
    </row>
    <row r="163" spans="2:8" x14ac:dyDescent="0.25">
      <c r="C163" s="57" t="s">
        <v>436</v>
      </c>
      <c r="D163" s="57" t="s">
        <v>648</v>
      </c>
      <c r="E163" s="56">
        <v>0.98879162397778708</v>
      </c>
      <c r="F163" s="56"/>
      <c r="G163" s="56"/>
      <c r="H163" s="109"/>
    </row>
    <row r="164" spans="2:8" x14ac:dyDescent="0.25">
      <c r="C164" s="57"/>
      <c r="D164" s="57"/>
      <c r="E164" s="56"/>
      <c r="F164" s="56"/>
      <c r="G164" s="56"/>
    </row>
    <row r="165" spans="2:8" x14ac:dyDescent="0.25">
      <c r="B165" s="37" t="s">
        <v>437</v>
      </c>
      <c r="C165" s="89"/>
      <c r="D165" s="89"/>
      <c r="E165" s="56"/>
      <c r="F165" s="56"/>
      <c r="G165" s="56"/>
    </row>
    <row r="166" spans="2:8" x14ac:dyDescent="0.25">
      <c r="B166" s="31"/>
      <c r="C166" s="36" t="s">
        <v>364</v>
      </c>
      <c r="D166" s="36" t="s">
        <v>650</v>
      </c>
      <c r="E166" s="54">
        <v>-0.01</v>
      </c>
      <c r="F166" s="54"/>
      <c r="G166" s="54"/>
      <c r="H166" s="110"/>
    </row>
    <row r="167" spans="2:8" x14ac:dyDescent="0.25">
      <c r="B167" s="31"/>
      <c r="C167" s="36" t="s">
        <v>396</v>
      </c>
      <c r="D167" s="36" t="s">
        <v>651</v>
      </c>
      <c r="E167" s="54">
        <v>-0.02</v>
      </c>
      <c r="F167" s="54"/>
      <c r="G167" s="54"/>
      <c r="H167" s="110"/>
    </row>
    <row r="168" spans="2:8" x14ac:dyDescent="0.25">
      <c r="C168" s="36" t="s">
        <v>389</v>
      </c>
      <c r="D168" s="36" t="s">
        <v>652</v>
      </c>
      <c r="E168" s="54">
        <v>-0.01</v>
      </c>
      <c r="F168" s="54"/>
      <c r="G168" s="54"/>
      <c r="H168" s="110"/>
    </row>
    <row r="169" spans="2:8" x14ac:dyDescent="0.25">
      <c r="C169" s="36" t="s">
        <v>438</v>
      </c>
      <c r="D169" s="36" t="s">
        <v>653</v>
      </c>
      <c r="E169" s="54">
        <v>-0.02</v>
      </c>
      <c r="F169" s="54"/>
      <c r="G169" s="54"/>
      <c r="H169" s="110"/>
    </row>
    <row r="170" spans="2:8" x14ac:dyDescent="0.25">
      <c r="B170" s="31"/>
      <c r="C170" s="89"/>
      <c r="D170" s="89"/>
      <c r="E170" s="56"/>
      <c r="F170" s="56"/>
      <c r="G170" s="56"/>
    </row>
    <row r="171" spans="2:8" x14ac:dyDescent="0.25">
      <c r="C171" s="36"/>
      <c r="D171" s="36"/>
      <c r="E171" s="56"/>
      <c r="F171" s="56"/>
      <c r="G171" s="56"/>
    </row>
    <row r="172" spans="2:8" x14ac:dyDescent="0.25">
      <c r="C172" s="36"/>
      <c r="D172" s="36"/>
      <c r="E172" s="56"/>
      <c r="F172" s="56"/>
      <c r="G172" s="56"/>
    </row>
    <row r="173" spans="2:8" x14ac:dyDescent="0.25">
      <c r="B173" s="95" t="s">
        <v>439</v>
      </c>
      <c r="C173" s="89"/>
      <c r="D173" s="89"/>
      <c r="E173" s="56"/>
      <c r="F173" s="56"/>
      <c r="G173" s="56"/>
    </row>
    <row r="174" spans="2:8" x14ac:dyDescent="0.25">
      <c r="B174" s="8"/>
      <c r="C174" s="36" t="s">
        <v>364</v>
      </c>
      <c r="D174" s="36" t="s">
        <v>654</v>
      </c>
      <c r="E174" s="56">
        <v>-0.57207970764000005</v>
      </c>
      <c r="F174" s="56"/>
      <c r="G174" s="56"/>
      <c r="H174" s="109"/>
    </row>
    <row r="175" spans="2:8" x14ac:dyDescent="0.25">
      <c r="B175" s="8"/>
      <c r="C175" s="36" t="s">
        <v>396</v>
      </c>
      <c r="D175" s="36" t="s">
        <v>655</v>
      </c>
      <c r="E175" s="56">
        <v>-3.27356721594</v>
      </c>
      <c r="F175" s="56"/>
      <c r="G175" s="56"/>
      <c r="H175" s="109"/>
    </row>
    <row r="176" spans="2:8" x14ac:dyDescent="0.25">
      <c r="C176" s="36" t="s">
        <v>389</v>
      </c>
      <c r="D176" s="36" t="s">
        <v>656</v>
      </c>
      <c r="E176" s="56">
        <v>-0.57207970764000005</v>
      </c>
      <c r="F176" s="56"/>
      <c r="G176" s="56"/>
      <c r="H176" s="109"/>
    </row>
    <row r="177" spans="2:8" x14ac:dyDescent="0.25">
      <c r="C177" s="36" t="s">
        <v>438</v>
      </c>
      <c r="D177" s="36" t="s">
        <v>657</v>
      </c>
      <c r="E177" s="56">
        <v>-3.27356721594</v>
      </c>
      <c r="F177" s="56"/>
      <c r="G177" s="56"/>
      <c r="H177" s="109"/>
    </row>
    <row r="178" spans="2:8" x14ac:dyDescent="0.25">
      <c r="B178" s="95" t="s">
        <v>440</v>
      </c>
      <c r="C178" s="89"/>
      <c r="D178" s="89"/>
      <c r="E178" s="56"/>
      <c r="F178" s="56"/>
      <c r="G178" s="56"/>
    </row>
    <row r="179" spans="2:8" x14ac:dyDescent="0.25">
      <c r="B179" s="95"/>
      <c r="C179" s="36" t="s">
        <v>441</v>
      </c>
      <c r="D179" s="36" t="s">
        <v>661</v>
      </c>
      <c r="E179" s="56">
        <v>-2.1823781439599998</v>
      </c>
      <c r="F179" s="56"/>
      <c r="G179" s="56"/>
      <c r="H179" s="109"/>
    </row>
    <row r="180" spans="2:8" x14ac:dyDescent="0.25">
      <c r="B180" s="95"/>
      <c r="C180" s="36" t="s">
        <v>442</v>
      </c>
      <c r="D180" s="36" t="s">
        <v>658</v>
      </c>
      <c r="E180" s="56">
        <v>-2.6591112336599996</v>
      </c>
      <c r="F180" s="56"/>
      <c r="G180" s="56"/>
      <c r="H180" s="109"/>
    </row>
    <row r="181" spans="2:8" x14ac:dyDescent="0.25">
      <c r="C181" s="36" t="s">
        <v>389</v>
      </c>
      <c r="D181" s="36" t="s">
        <v>659</v>
      </c>
      <c r="E181" s="56">
        <v>-2.1823781439599998</v>
      </c>
      <c r="F181" s="56"/>
      <c r="G181" s="56"/>
      <c r="H181" s="109"/>
    </row>
    <row r="182" spans="2:8" x14ac:dyDescent="0.25">
      <c r="C182" s="36" t="s">
        <v>438</v>
      </c>
      <c r="D182" s="36" t="s">
        <v>660</v>
      </c>
      <c r="E182" s="56">
        <v>-2.6591112336599996</v>
      </c>
      <c r="F182" s="56"/>
      <c r="G182" s="56"/>
      <c r="H182" s="109"/>
    </row>
    <row r="183" spans="2:8" x14ac:dyDescent="0.25">
      <c r="B183" s="37" t="s">
        <v>443</v>
      </c>
      <c r="C183" s="89"/>
      <c r="D183" s="89"/>
      <c r="E183" s="56"/>
      <c r="F183" s="56"/>
      <c r="G183" s="56"/>
    </row>
    <row r="184" spans="2:8" x14ac:dyDescent="0.25">
      <c r="B184" s="31"/>
      <c r="C184" s="36" t="s">
        <v>363</v>
      </c>
      <c r="D184" s="36" t="s">
        <v>662</v>
      </c>
      <c r="E184" s="56">
        <v>1.08059500332</v>
      </c>
      <c r="F184" s="56"/>
      <c r="G184" s="56"/>
      <c r="H184" s="109"/>
    </row>
    <row r="185" spans="2:8" x14ac:dyDescent="0.25">
      <c r="B185" s="31"/>
      <c r="C185" s="36" t="s">
        <v>364</v>
      </c>
      <c r="D185" s="36" t="s">
        <v>663</v>
      </c>
      <c r="E185" s="56">
        <v>1.08059500332</v>
      </c>
      <c r="F185" s="56"/>
      <c r="G185" s="56"/>
      <c r="H185" s="109"/>
    </row>
    <row r="186" spans="2:8" x14ac:dyDescent="0.25">
      <c r="B186" s="31"/>
      <c r="C186" s="36" t="s">
        <v>396</v>
      </c>
      <c r="D186" s="36" t="s">
        <v>664</v>
      </c>
      <c r="E186" s="56">
        <v>1.08059500332</v>
      </c>
      <c r="F186" s="56"/>
      <c r="G186" s="56"/>
      <c r="H186" s="109"/>
    </row>
    <row r="187" spans="2:8" x14ac:dyDescent="0.25">
      <c r="B187" s="31"/>
      <c r="C187" s="57" t="s">
        <v>397</v>
      </c>
      <c r="D187" s="36" t="s">
        <v>665</v>
      </c>
      <c r="E187" s="56">
        <v>1.08059500332</v>
      </c>
      <c r="F187" s="56"/>
      <c r="G187" s="56"/>
      <c r="H187" s="109"/>
    </row>
    <row r="188" spans="2:8" x14ac:dyDescent="0.25">
      <c r="C188" s="36" t="s">
        <v>389</v>
      </c>
      <c r="D188" s="36" t="s">
        <v>666</v>
      </c>
      <c r="E188" s="56">
        <v>1.08059500332</v>
      </c>
      <c r="F188" s="56"/>
      <c r="G188" s="56"/>
      <c r="H188" s="109"/>
    </row>
    <row r="189" spans="2:8" x14ac:dyDescent="0.25">
      <c r="C189" s="36" t="s">
        <v>438</v>
      </c>
      <c r="D189" s="36" t="s">
        <v>667</v>
      </c>
      <c r="E189" s="56">
        <v>1.08059500332</v>
      </c>
      <c r="F189" s="56"/>
      <c r="G189" s="56"/>
      <c r="H189" s="109"/>
    </row>
    <row r="190" spans="2:8" x14ac:dyDescent="0.25">
      <c r="C190" s="36"/>
      <c r="D190" s="36"/>
      <c r="E190" s="56"/>
      <c r="F190" s="56"/>
      <c r="G190" s="56"/>
    </row>
    <row r="191" spans="2:8" x14ac:dyDescent="0.25">
      <c r="B191" t="s">
        <v>444</v>
      </c>
      <c r="C191" s="36"/>
      <c r="D191" s="36"/>
      <c r="E191" s="56"/>
      <c r="F191" s="56"/>
      <c r="G191" s="56"/>
    </row>
    <row r="192" spans="2:8" x14ac:dyDescent="0.25">
      <c r="C192" s="36" t="s">
        <v>392</v>
      </c>
      <c r="D192" s="36" t="s">
        <v>668</v>
      </c>
      <c r="E192" s="92">
        <v>2.15059593798E-3</v>
      </c>
      <c r="F192" s="56"/>
      <c r="G192" s="92"/>
      <c r="H192" s="111"/>
    </row>
    <row r="193" spans="2:8" x14ac:dyDescent="0.25">
      <c r="C193" s="36" t="s">
        <v>387</v>
      </c>
      <c r="D193" s="36" t="s">
        <v>669</v>
      </c>
      <c r="E193" s="92">
        <v>2.15059593798E-3</v>
      </c>
      <c r="F193" s="56"/>
      <c r="G193" s="92"/>
      <c r="H193" s="111"/>
    </row>
    <row r="194" spans="2:8" x14ac:dyDescent="0.25">
      <c r="C194" s="36" t="s">
        <v>365</v>
      </c>
      <c r="D194" s="36" t="s">
        <v>670</v>
      </c>
      <c r="E194" s="92">
        <v>2.15059593798E-3</v>
      </c>
      <c r="F194" s="56"/>
      <c r="G194" s="92"/>
      <c r="H194" s="111"/>
    </row>
    <row r="195" spans="2:8" x14ac:dyDescent="0.25">
      <c r="C195" s="36" t="s">
        <v>394</v>
      </c>
      <c r="D195" s="36" t="s">
        <v>671</v>
      </c>
      <c r="E195" s="92">
        <v>2.15059593798E-3</v>
      </c>
      <c r="F195" s="56"/>
      <c r="G195" s="92"/>
      <c r="H195" s="111"/>
    </row>
    <row r="196" spans="2:8" x14ac:dyDescent="0.25">
      <c r="C196" s="36" t="s">
        <v>389</v>
      </c>
      <c r="D196" s="36" t="s">
        <v>672</v>
      </c>
      <c r="E196" s="92">
        <v>2.15059593798E-3</v>
      </c>
      <c r="F196" s="56"/>
      <c r="G196" s="92"/>
      <c r="H196" s="111"/>
    </row>
    <row r="197" spans="2:8" x14ac:dyDescent="0.25">
      <c r="C197" s="36" t="s">
        <v>372</v>
      </c>
      <c r="D197" s="36" t="s">
        <v>673</v>
      </c>
      <c r="E197" s="92">
        <v>2.15059593798E-3</v>
      </c>
      <c r="F197" s="56"/>
      <c r="G197" s="92"/>
      <c r="H197" s="111"/>
    </row>
    <row r="198" spans="2:8" x14ac:dyDescent="0.25">
      <c r="B198" t="s">
        <v>445</v>
      </c>
      <c r="C198" s="36"/>
      <c r="D198" s="36"/>
      <c r="E198" s="56"/>
      <c r="F198" s="56"/>
      <c r="G198" s="56"/>
    </row>
    <row r="199" spans="2:8" x14ac:dyDescent="0.25">
      <c r="C199" s="36" t="s">
        <v>392</v>
      </c>
      <c r="D199" s="36" t="s">
        <v>679</v>
      </c>
      <c r="E199" s="92">
        <v>-1.08059500332E-3</v>
      </c>
      <c r="F199" s="56"/>
      <c r="G199" s="92"/>
      <c r="H199" s="111"/>
    </row>
    <row r="200" spans="2:8" x14ac:dyDescent="0.25">
      <c r="C200" s="36" t="s">
        <v>387</v>
      </c>
      <c r="D200" s="36" t="s">
        <v>674</v>
      </c>
      <c r="E200" s="92">
        <v>-1.08059500332E-3</v>
      </c>
      <c r="F200" s="56"/>
      <c r="G200" s="92"/>
      <c r="H200" s="111"/>
    </row>
    <row r="201" spans="2:8" x14ac:dyDescent="0.25">
      <c r="C201" s="36" t="s">
        <v>365</v>
      </c>
      <c r="D201" s="36" t="s">
        <v>675</v>
      </c>
      <c r="E201" s="92">
        <v>-1.08059500332E-3</v>
      </c>
      <c r="F201" s="56"/>
      <c r="G201" s="92"/>
      <c r="H201" s="111"/>
    </row>
    <row r="202" spans="2:8" x14ac:dyDescent="0.25">
      <c r="C202" s="36" t="s">
        <v>394</v>
      </c>
      <c r="D202" s="36" t="s">
        <v>676</v>
      </c>
      <c r="E202" s="92">
        <v>-1.08059500332E-3</v>
      </c>
      <c r="F202" s="56"/>
      <c r="G202" s="92"/>
      <c r="H202" s="111"/>
    </row>
    <row r="203" spans="2:8" x14ac:dyDescent="0.25">
      <c r="C203" s="36" t="s">
        <v>389</v>
      </c>
      <c r="D203" s="36" t="s">
        <v>677</v>
      </c>
      <c r="E203" s="92">
        <v>-1.08059500332E-3</v>
      </c>
      <c r="F203" s="56"/>
      <c r="G203" s="92"/>
      <c r="H203" s="111"/>
    </row>
    <row r="204" spans="2:8" x14ac:dyDescent="0.25">
      <c r="C204" s="36" t="s">
        <v>446</v>
      </c>
      <c r="D204" s="36" t="s">
        <v>678</v>
      </c>
      <c r="E204" s="92">
        <v>-1.08059500332E-3</v>
      </c>
      <c r="F204" s="56"/>
      <c r="G204" s="92"/>
      <c r="H204" s="111"/>
    </row>
    <row r="205" spans="2:8" x14ac:dyDescent="0.25">
      <c r="C205" s="36"/>
      <c r="D205" s="36"/>
      <c r="E205" s="56"/>
      <c r="F205" s="56"/>
      <c r="G205" s="56"/>
    </row>
    <row r="206" spans="2:8" x14ac:dyDescent="0.25">
      <c r="B206" s="88" t="s">
        <v>447</v>
      </c>
      <c r="C206" s="89"/>
      <c r="D206" s="89"/>
      <c r="E206" s="56"/>
      <c r="F206" s="56"/>
      <c r="G206" s="56"/>
    </row>
    <row r="207" spans="2:8" x14ac:dyDescent="0.25">
      <c r="B207" s="37" t="s">
        <v>348</v>
      </c>
      <c r="C207" s="89"/>
      <c r="D207" s="89"/>
      <c r="E207" s="56"/>
      <c r="F207" s="56"/>
      <c r="G207" s="56"/>
    </row>
    <row r="208" spans="2:8" x14ac:dyDescent="0.25">
      <c r="C208" s="36" t="s">
        <v>387</v>
      </c>
      <c r="D208" s="36" t="s">
        <v>680</v>
      </c>
      <c r="E208" s="56">
        <v>22.689853641000003</v>
      </c>
      <c r="F208" s="56"/>
      <c r="G208" s="56"/>
      <c r="H208" s="109"/>
    </row>
    <row r="209" spans="2:8" x14ac:dyDescent="0.25">
      <c r="C209" s="57" t="s">
        <v>398</v>
      </c>
      <c r="D209" s="57" t="s">
        <v>681</v>
      </c>
      <c r="E209" s="56">
        <v>22.689853641000003</v>
      </c>
      <c r="F209" s="56"/>
      <c r="G209" s="56"/>
      <c r="H209" s="109"/>
    </row>
    <row r="210" spans="2:8" x14ac:dyDescent="0.25">
      <c r="B210" s="37" t="s">
        <v>342</v>
      </c>
      <c r="C210" s="89"/>
      <c r="D210" s="89"/>
      <c r="E210" s="56"/>
      <c r="F210" s="56"/>
      <c r="G210" s="56"/>
    </row>
    <row r="211" spans="2:8" x14ac:dyDescent="0.25">
      <c r="C211" s="36" t="s">
        <v>387</v>
      </c>
      <c r="D211" s="36" t="s">
        <v>682</v>
      </c>
      <c r="E211" s="92">
        <v>1.1258489282820002E-2</v>
      </c>
      <c r="F211" s="56"/>
      <c r="G211" s="92"/>
      <c r="H211" s="111"/>
    </row>
    <row r="212" spans="2:8" x14ac:dyDescent="0.25">
      <c r="C212" s="57" t="s">
        <v>374</v>
      </c>
      <c r="D212" s="57" t="s">
        <v>683</v>
      </c>
      <c r="E212" s="92">
        <v>1.8357172064790001E-2</v>
      </c>
      <c r="F212" s="56"/>
      <c r="G212" s="92"/>
      <c r="H212" s="111"/>
    </row>
    <row r="213" spans="2:8" x14ac:dyDescent="0.25">
      <c r="C213" s="57" t="s">
        <v>377</v>
      </c>
      <c r="D213" s="57" t="s">
        <v>684</v>
      </c>
      <c r="E213" s="92">
        <v>1.1185822431290003E-2</v>
      </c>
      <c r="F213" s="56"/>
      <c r="G213" s="92"/>
      <c r="H213" s="111"/>
    </row>
    <row r="214" spans="2:8" x14ac:dyDescent="0.25">
      <c r="C214" s="57" t="s">
        <v>1250</v>
      </c>
      <c r="D214" s="57" t="s">
        <v>1243</v>
      </c>
      <c r="E214" s="92">
        <v>6.7580171922900032E-3</v>
      </c>
      <c r="F214" s="56"/>
      <c r="G214" s="92"/>
      <c r="H214" s="111"/>
    </row>
    <row r="215" spans="2:8" x14ac:dyDescent="0.25">
      <c r="B215" s="37" t="s">
        <v>448</v>
      </c>
      <c r="C215" s="89"/>
      <c r="D215" s="57"/>
      <c r="E215" s="56"/>
      <c r="F215" s="56"/>
      <c r="G215" s="56"/>
    </row>
    <row r="216" spans="2:8" x14ac:dyDescent="0.25">
      <c r="C216" s="36" t="s">
        <v>387</v>
      </c>
      <c r="D216" s="57" t="s">
        <v>685</v>
      </c>
      <c r="E216" s="56">
        <v>13.769143534856953</v>
      </c>
      <c r="F216" s="56"/>
      <c r="G216" s="56"/>
      <c r="H216" s="109"/>
    </row>
    <row r="217" spans="2:8" x14ac:dyDescent="0.25">
      <c r="C217" s="57" t="s">
        <v>449</v>
      </c>
      <c r="D217" s="57" t="s">
        <v>686</v>
      </c>
      <c r="E217" s="56">
        <v>3.0986211940935928</v>
      </c>
      <c r="F217" s="56"/>
      <c r="G217" s="56"/>
      <c r="H217" s="109"/>
    </row>
    <row r="218" spans="2:8" x14ac:dyDescent="0.25">
      <c r="C218" s="57" t="s">
        <v>450</v>
      </c>
      <c r="D218" s="57" t="s">
        <v>687</v>
      </c>
      <c r="E218" s="56">
        <v>10.665225923013358</v>
      </c>
      <c r="F218" s="56"/>
      <c r="G218" s="56"/>
      <c r="H218" s="109"/>
    </row>
    <row r="219" spans="2:8" x14ac:dyDescent="0.25">
      <c r="C219" s="57"/>
      <c r="D219" s="57"/>
      <c r="E219" s="56"/>
      <c r="F219" s="56"/>
      <c r="G219" s="56"/>
    </row>
    <row r="220" spans="2:8" x14ac:dyDescent="0.25">
      <c r="B220" s="88" t="s">
        <v>444</v>
      </c>
      <c r="C220" s="57"/>
      <c r="D220" s="57"/>
      <c r="E220" s="56"/>
      <c r="F220" s="56"/>
      <c r="G220" s="56"/>
    </row>
    <row r="221" spans="2:8" x14ac:dyDescent="0.25">
      <c r="C221" s="57" t="s">
        <v>387</v>
      </c>
      <c r="D221" s="57" t="s">
        <v>688</v>
      </c>
      <c r="E221" s="92">
        <v>2.1503456065000001E-3</v>
      </c>
      <c r="F221" s="56"/>
      <c r="G221" s="92"/>
      <c r="H221" s="111"/>
    </row>
    <row r="222" spans="2:8" x14ac:dyDescent="0.25">
      <c r="C222" s="57" t="s">
        <v>389</v>
      </c>
      <c r="D222" s="57" t="s">
        <v>689</v>
      </c>
      <c r="E222" s="92">
        <v>2.1503456065000001E-3</v>
      </c>
      <c r="F222" s="56"/>
      <c r="G222" s="92"/>
      <c r="H222" s="111"/>
    </row>
    <row r="223" spans="2:8" x14ac:dyDescent="0.25">
      <c r="C223" s="57"/>
      <c r="D223" s="57"/>
      <c r="E223" s="56"/>
      <c r="F223" s="56"/>
      <c r="G223" s="56"/>
    </row>
    <row r="224" spans="2:8" x14ac:dyDescent="0.25">
      <c r="B224" s="88" t="s">
        <v>445</v>
      </c>
      <c r="C224" s="57"/>
      <c r="D224" s="57"/>
      <c r="E224" s="56"/>
      <c r="F224" s="56"/>
      <c r="G224" s="56"/>
    </row>
    <row r="225" spans="2:8" x14ac:dyDescent="0.25">
      <c r="C225" s="57" t="s">
        <v>387</v>
      </c>
      <c r="D225" s="57" t="s">
        <v>690</v>
      </c>
      <c r="E225" s="92">
        <v>-1.0804692210000001E-3</v>
      </c>
      <c r="F225" s="56"/>
      <c r="G225" s="92"/>
      <c r="H225" s="111"/>
    </row>
    <row r="226" spans="2:8" x14ac:dyDescent="0.25">
      <c r="C226" s="57" t="s">
        <v>389</v>
      </c>
      <c r="D226" s="57" t="s">
        <v>691</v>
      </c>
      <c r="E226" s="92">
        <v>-1.0804692210000001E-3</v>
      </c>
      <c r="F226" s="56"/>
      <c r="G226" s="92"/>
      <c r="H226" s="111"/>
    </row>
    <row r="227" spans="2:8" x14ac:dyDescent="0.25">
      <c r="C227" s="57"/>
      <c r="D227" s="57"/>
      <c r="E227" s="56"/>
      <c r="F227" s="56"/>
      <c r="G227" s="56"/>
    </row>
    <row r="228" spans="2:8" x14ac:dyDescent="0.25">
      <c r="B228" s="95" t="s">
        <v>451</v>
      </c>
      <c r="C228" s="57"/>
      <c r="D228" s="57"/>
      <c r="E228" s="56"/>
      <c r="F228" s="56"/>
      <c r="G228" s="56"/>
    </row>
    <row r="229" spans="2:8" x14ac:dyDescent="0.25">
      <c r="C229" s="36" t="s">
        <v>387</v>
      </c>
      <c r="D229" s="36" t="s">
        <v>692</v>
      </c>
      <c r="E229" s="56">
        <v>1.080469221</v>
      </c>
      <c r="F229" s="56"/>
      <c r="G229" s="56"/>
      <c r="H229" s="109"/>
    </row>
    <row r="230" spans="2:8" x14ac:dyDescent="0.25">
      <c r="C230" s="57" t="s">
        <v>398</v>
      </c>
      <c r="D230" s="36" t="s">
        <v>693</v>
      </c>
      <c r="E230" s="56">
        <v>1.080469221</v>
      </c>
      <c r="F230" s="56"/>
      <c r="G230" s="56"/>
      <c r="H230" s="109"/>
    </row>
    <row r="231" spans="2:8" x14ac:dyDescent="0.25">
      <c r="B231" s="37" t="s">
        <v>386</v>
      </c>
      <c r="C231" s="89"/>
      <c r="D231" s="89"/>
      <c r="E231" s="56"/>
      <c r="F231" s="56"/>
      <c r="G231" s="56"/>
    </row>
    <row r="232" spans="2:8" x14ac:dyDescent="0.25">
      <c r="C232" s="36" t="s">
        <v>387</v>
      </c>
      <c r="D232" s="36" t="s">
        <v>694</v>
      </c>
      <c r="E232" s="54">
        <v>-0.01</v>
      </c>
      <c r="F232" s="54"/>
      <c r="G232" s="54"/>
      <c r="H232" s="110"/>
    </row>
    <row r="233" spans="2:8" x14ac:dyDescent="0.25">
      <c r="C233" s="57" t="s">
        <v>398</v>
      </c>
      <c r="D233" s="36" t="s">
        <v>695</v>
      </c>
      <c r="E233" s="54">
        <v>-0.01</v>
      </c>
      <c r="F233" s="54"/>
      <c r="G233" s="54"/>
      <c r="H233" s="110"/>
    </row>
    <row r="234" spans="2:8" x14ac:dyDescent="0.25">
      <c r="B234" s="88" t="s">
        <v>452</v>
      </c>
      <c r="C234" s="57"/>
      <c r="D234" s="57"/>
      <c r="E234" s="56"/>
      <c r="F234" s="56"/>
      <c r="G234" s="56"/>
    </row>
    <row r="235" spans="2:8" x14ac:dyDescent="0.25">
      <c r="B235" s="88" t="s">
        <v>348</v>
      </c>
      <c r="C235" s="57"/>
      <c r="D235" s="57"/>
      <c r="E235" s="56"/>
      <c r="F235" s="56"/>
      <c r="G235" s="56"/>
    </row>
    <row r="236" spans="2:8" x14ac:dyDescent="0.25">
      <c r="C236" s="57" t="s">
        <v>453</v>
      </c>
      <c r="D236" s="36" t="s">
        <v>701</v>
      </c>
      <c r="E236" s="56">
        <v>135.18576468178648</v>
      </c>
      <c r="F236" s="56"/>
      <c r="G236" s="56"/>
      <c r="H236" s="109"/>
    </row>
    <row r="237" spans="2:8" x14ac:dyDescent="0.25">
      <c r="C237" s="57" t="s">
        <v>399</v>
      </c>
      <c r="D237" s="57" t="s">
        <v>702</v>
      </c>
      <c r="E237" s="56">
        <v>135.18576468178648</v>
      </c>
      <c r="F237" s="56"/>
      <c r="G237" s="56"/>
      <c r="H237" s="109"/>
    </row>
    <row r="238" spans="2:8" x14ac:dyDescent="0.25">
      <c r="C238" s="57"/>
      <c r="D238" s="89"/>
      <c r="E238" s="56"/>
      <c r="F238" s="56"/>
      <c r="G238" s="56"/>
    </row>
    <row r="239" spans="2:8" x14ac:dyDescent="0.25">
      <c r="B239" s="88" t="s">
        <v>342</v>
      </c>
      <c r="C239" s="57" t="s">
        <v>453</v>
      </c>
      <c r="D239" s="36" t="s">
        <v>696</v>
      </c>
      <c r="E239" s="92">
        <v>1.2314277017726343E-2</v>
      </c>
      <c r="F239" s="56"/>
      <c r="G239" s="92"/>
      <c r="H239" s="111"/>
    </row>
    <row r="240" spans="2:8" x14ac:dyDescent="0.25">
      <c r="C240" s="57" t="s">
        <v>454</v>
      </c>
      <c r="D240" s="57" t="s">
        <v>703</v>
      </c>
      <c r="E240" s="92">
        <v>2.2189235912045559E-2</v>
      </c>
      <c r="F240" s="56"/>
      <c r="G240" s="92"/>
      <c r="H240" s="111"/>
    </row>
    <row r="241" spans="2:8" x14ac:dyDescent="0.25">
      <c r="C241" s="57" t="s">
        <v>455</v>
      </c>
      <c r="D241" s="57" t="s">
        <v>704</v>
      </c>
      <c r="E241" s="92">
        <v>1.0833716421458261E-2</v>
      </c>
      <c r="F241" s="56"/>
      <c r="G241" s="92"/>
      <c r="H241" s="111"/>
    </row>
    <row r="242" spans="2:8" x14ac:dyDescent="0.25">
      <c r="C242" s="57" t="s">
        <v>1255</v>
      </c>
      <c r="D242" s="57" t="s">
        <v>1246</v>
      </c>
      <c r="E242" s="92">
        <v>7.6134944763663398E-3</v>
      </c>
      <c r="F242" s="56"/>
      <c r="G242" s="92"/>
    </row>
    <row r="243" spans="2:8" x14ac:dyDescent="0.25">
      <c r="C243" s="57"/>
      <c r="D243" s="57"/>
      <c r="E243" s="56"/>
      <c r="F243" s="56"/>
      <c r="G243" s="56"/>
    </row>
    <row r="244" spans="2:8" x14ac:dyDescent="0.25">
      <c r="B244" s="88" t="s">
        <v>448</v>
      </c>
      <c r="C244" s="57" t="s">
        <v>453</v>
      </c>
      <c r="D244" s="57" t="s">
        <v>697</v>
      </c>
      <c r="E244" s="56">
        <v>13.528692539970505</v>
      </c>
      <c r="F244" s="56"/>
      <c r="G244" s="56"/>
      <c r="H244" s="109"/>
    </row>
    <row r="245" spans="2:8" x14ac:dyDescent="0.25">
      <c r="C245" s="57" t="s">
        <v>456</v>
      </c>
      <c r="D245" s="57" t="s">
        <v>705</v>
      </c>
      <c r="E245" s="56">
        <v>1.6433626520945765</v>
      </c>
      <c r="F245" s="56"/>
      <c r="G245" s="56"/>
      <c r="H245" s="109"/>
    </row>
    <row r="246" spans="2:8" x14ac:dyDescent="0.25">
      <c r="C246" s="57" t="s">
        <v>457</v>
      </c>
      <c r="D246" s="57" t="s">
        <v>706</v>
      </c>
      <c r="E246" s="56">
        <v>11.885329887875928</v>
      </c>
      <c r="F246" s="56"/>
      <c r="G246" s="56"/>
      <c r="H246" s="109"/>
    </row>
    <row r="247" spans="2:8" x14ac:dyDescent="0.25">
      <c r="C247" s="57"/>
      <c r="D247" s="57"/>
      <c r="E247" s="56"/>
      <c r="F247" s="56"/>
      <c r="G247" s="56"/>
    </row>
    <row r="248" spans="2:8" x14ac:dyDescent="0.25">
      <c r="B248" s="88" t="s">
        <v>444</v>
      </c>
      <c r="C248" s="57"/>
      <c r="D248" s="57"/>
      <c r="E248" s="56"/>
      <c r="F248" s="56"/>
      <c r="G248" s="56"/>
    </row>
    <row r="249" spans="2:8" x14ac:dyDescent="0.25">
      <c r="C249" s="57" t="s">
        <v>365</v>
      </c>
      <c r="D249" s="57" t="s">
        <v>698</v>
      </c>
      <c r="E249" s="92">
        <v>2.1503455751765129E-3</v>
      </c>
      <c r="F249" s="56"/>
      <c r="G249" s="92"/>
      <c r="H249" s="111"/>
    </row>
    <row r="250" spans="2:8" x14ac:dyDescent="0.25">
      <c r="C250" s="57" t="s">
        <v>372</v>
      </c>
      <c r="D250" s="57" t="s">
        <v>707</v>
      </c>
      <c r="E250" s="92">
        <v>2.1503455751765129E-3</v>
      </c>
      <c r="F250" s="56"/>
      <c r="G250" s="92"/>
      <c r="H250" s="111"/>
    </row>
    <row r="251" spans="2:8" x14ac:dyDescent="0.25">
      <c r="B251" s="88" t="s">
        <v>445</v>
      </c>
      <c r="C251" s="57"/>
      <c r="D251" s="57"/>
      <c r="E251" s="56"/>
      <c r="F251" s="56"/>
      <c r="G251" s="56"/>
    </row>
    <row r="252" spans="2:8" x14ac:dyDescent="0.25">
      <c r="C252" s="57" t="s">
        <v>365</v>
      </c>
      <c r="D252" s="57" t="s">
        <v>699</v>
      </c>
      <c r="E252" s="92">
        <v>-1.0804692052611049E-3</v>
      </c>
      <c r="F252" s="56"/>
      <c r="G252" s="92"/>
      <c r="H252" s="111"/>
    </row>
    <row r="253" spans="2:8" x14ac:dyDescent="0.25">
      <c r="C253" s="57" t="s">
        <v>372</v>
      </c>
      <c r="D253" s="57" t="s">
        <v>708</v>
      </c>
      <c r="E253" s="92">
        <v>-1.0804692052611049E-3</v>
      </c>
      <c r="F253" s="56"/>
      <c r="G253" s="92"/>
      <c r="H253" s="111"/>
    </row>
    <row r="254" spans="2:8" x14ac:dyDescent="0.25">
      <c r="C254" s="57"/>
      <c r="E254" s="56"/>
      <c r="F254" s="56"/>
      <c r="G254" s="56"/>
    </row>
    <row r="255" spans="2:8" x14ac:dyDescent="0.25">
      <c r="B255" s="88" t="s">
        <v>451</v>
      </c>
      <c r="C255" s="57" t="s">
        <v>453</v>
      </c>
      <c r="D255" s="36" t="s">
        <v>700</v>
      </c>
      <c r="E255" s="56">
        <v>1.0804692052611049</v>
      </c>
      <c r="F255" s="56"/>
      <c r="G255" s="56"/>
      <c r="H255" s="109"/>
    </row>
    <row r="256" spans="2:8" x14ac:dyDescent="0.25">
      <c r="C256" s="57" t="s">
        <v>399</v>
      </c>
      <c r="D256" s="36" t="s">
        <v>709</v>
      </c>
      <c r="E256" s="56">
        <v>1.0804692052611049</v>
      </c>
      <c r="F256" s="56"/>
      <c r="G256" s="56"/>
      <c r="H256" s="109"/>
    </row>
    <row r="257" spans="2:8" x14ac:dyDescent="0.25">
      <c r="C257" s="57"/>
      <c r="E257" s="56"/>
      <c r="F257" s="56"/>
      <c r="G257" s="56"/>
    </row>
    <row r="258" spans="2:8" x14ac:dyDescent="0.25">
      <c r="B258" s="88" t="s">
        <v>458</v>
      </c>
      <c r="C258" s="89"/>
      <c r="E258" s="56"/>
      <c r="F258" s="56"/>
      <c r="G258" s="56"/>
    </row>
    <row r="259" spans="2:8" x14ac:dyDescent="0.25">
      <c r="B259" s="37" t="s">
        <v>348</v>
      </c>
      <c r="C259" s="89"/>
      <c r="D259" s="89"/>
      <c r="E259" s="56"/>
      <c r="F259" s="56"/>
      <c r="G259" s="56"/>
    </row>
    <row r="260" spans="2:8" x14ac:dyDescent="0.25">
      <c r="B260" s="31"/>
      <c r="C260" s="36" t="s">
        <v>459</v>
      </c>
      <c r="D260" s="36" t="s">
        <v>620</v>
      </c>
      <c r="E260" s="56">
        <v>23.558466151999998</v>
      </c>
      <c r="F260" s="56"/>
      <c r="G260" s="56"/>
      <c r="H260" s="109"/>
    </row>
    <row r="261" spans="2:8" x14ac:dyDescent="0.25">
      <c r="C261" s="57" t="s">
        <v>389</v>
      </c>
      <c r="D261" s="36" t="s">
        <v>621</v>
      </c>
      <c r="E261" s="56">
        <v>23.558466151999998</v>
      </c>
      <c r="F261" s="56"/>
      <c r="G261" s="56"/>
      <c r="H261" s="109"/>
    </row>
    <row r="262" spans="2:8" x14ac:dyDescent="0.25">
      <c r="B262" s="37" t="s">
        <v>400</v>
      </c>
      <c r="C262" s="89"/>
      <c r="D262" s="36"/>
      <c r="E262" s="56"/>
      <c r="F262" s="56"/>
      <c r="G262" s="56"/>
    </row>
    <row r="263" spans="2:8" x14ac:dyDescent="0.25">
      <c r="B263" s="31"/>
      <c r="C263" s="36" t="s">
        <v>387</v>
      </c>
      <c r="D263" s="36" t="s">
        <v>611</v>
      </c>
      <c r="E263" s="92">
        <v>1.1258489282820002E-2</v>
      </c>
      <c r="F263" s="56"/>
      <c r="G263" s="92"/>
      <c r="H263" s="111"/>
    </row>
    <row r="264" spans="2:8" x14ac:dyDescent="0.25">
      <c r="C264" s="57" t="s">
        <v>402</v>
      </c>
      <c r="D264" s="36" t="s">
        <v>622</v>
      </c>
      <c r="E264" s="92">
        <v>1.8270734527110002E-2</v>
      </c>
      <c r="F264" s="56"/>
      <c r="G264" s="92"/>
      <c r="H264" s="111"/>
    </row>
    <row r="265" spans="2:8" x14ac:dyDescent="0.25">
      <c r="C265" s="57" t="s">
        <v>405</v>
      </c>
      <c r="D265" s="36" t="s">
        <v>623</v>
      </c>
      <c r="E265" s="92">
        <v>1.1099384893610002E-2</v>
      </c>
      <c r="F265" s="56"/>
      <c r="G265" s="92"/>
      <c r="H265" s="111"/>
    </row>
    <row r="266" spans="2:8" x14ac:dyDescent="0.25">
      <c r="C266" s="57" t="s">
        <v>1253</v>
      </c>
      <c r="D266" s="36" t="s">
        <v>1244</v>
      </c>
      <c r="E266" s="92">
        <v>6.671579654610002E-3</v>
      </c>
      <c r="F266" s="56"/>
      <c r="G266" s="92"/>
      <c r="H266" s="111"/>
    </row>
    <row r="267" spans="2:8" x14ac:dyDescent="0.25">
      <c r="B267" s="37" t="s">
        <v>407</v>
      </c>
      <c r="C267" s="89"/>
      <c r="D267" s="36"/>
      <c r="E267" s="56"/>
      <c r="F267" s="56"/>
      <c r="G267" s="56"/>
    </row>
    <row r="268" spans="2:8" x14ac:dyDescent="0.25">
      <c r="B268" s="37"/>
      <c r="C268" s="57" t="s">
        <v>460</v>
      </c>
      <c r="D268" s="36" t="s">
        <v>612</v>
      </c>
      <c r="E268" s="92">
        <v>9.2596212239699997E-3</v>
      </c>
      <c r="F268" s="56"/>
      <c r="G268" s="92"/>
      <c r="H268" s="111"/>
    </row>
    <row r="269" spans="2:8" x14ac:dyDescent="0.25">
      <c r="C269" s="57" t="s">
        <v>402</v>
      </c>
      <c r="D269" s="36" t="s">
        <v>624</v>
      </c>
      <c r="E269" s="92">
        <v>9.2596212239699997E-3</v>
      </c>
      <c r="F269" s="56"/>
      <c r="G269" s="92"/>
      <c r="H269" s="111"/>
    </row>
    <row r="270" spans="2:8" x14ac:dyDescent="0.25">
      <c r="C270" s="57" t="s">
        <v>405</v>
      </c>
      <c r="D270" s="36" t="s">
        <v>625</v>
      </c>
      <c r="E270" s="92">
        <v>9.2596212239699997E-3</v>
      </c>
      <c r="F270" s="56"/>
      <c r="G270" s="92"/>
      <c r="H270" s="111"/>
    </row>
    <row r="271" spans="2:8" x14ac:dyDescent="0.25">
      <c r="C271" s="57" t="s">
        <v>1253</v>
      </c>
      <c r="D271" s="36" t="s">
        <v>1245</v>
      </c>
      <c r="E271" s="92">
        <v>9.2596212239699997E-3</v>
      </c>
      <c r="F271" s="56"/>
      <c r="G271" s="92"/>
      <c r="H271" s="111"/>
    </row>
    <row r="272" spans="2:8" x14ac:dyDescent="0.25">
      <c r="B272" s="37" t="s">
        <v>411</v>
      </c>
      <c r="C272" s="89"/>
      <c r="D272" s="36"/>
      <c r="E272" s="56"/>
      <c r="F272" s="56"/>
      <c r="G272" s="56"/>
    </row>
    <row r="273" spans="2:8" x14ac:dyDescent="0.25">
      <c r="B273" s="31"/>
      <c r="C273" s="36" t="s">
        <v>387</v>
      </c>
      <c r="D273" s="36" t="s">
        <v>613</v>
      </c>
      <c r="E273" s="56">
        <v>13.769143534856953</v>
      </c>
      <c r="F273" s="56"/>
      <c r="G273" s="56"/>
      <c r="H273" s="109"/>
    </row>
    <row r="274" spans="2:8" x14ac:dyDescent="0.25">
      <c r="C274" s="57" t="s">
        <v>461</v>
      </c>
      <c r="D274" s="36" t="s">
        <v>626</v>
      </c>
      <c r="E274" s="56">
        <v>3.0986211940935928</v>
      </c>
      <c r="F274" s="56"/>
      <c r="G274" s="56"/>
      <c r="H274" s="109"/>
    </row>
    <row r="275" spans="2:8" x14ac:dyDescent="0.25">
      <c r="C275" s="57" t="s">
        <v>462</v>
      </c>
      <c r="D275" s="36" t="s">
        <v>627</v>
      </c>
      <c r="E275" s="56">
        <v>10.665225923013358</v>
      </c>
      <c r="F275" s="56"/>
      <c r="G275" s="56"/>
      <c r="H275" s="109"/>
    </row>
    <row r="276" spans="2:8" x14ac:dyDescent="0.25">
      <c r="B276" s="37" t="s">
        <v>418</v>
      </c>
      <c r="C276" s="89"/>
      <c r="D276" s="36"/>
      <c r="E276" s="56"/>
      <c r="F276" s="56"/>
      <c r="G276" s="56"/>
    </row>
    <row r="277" spans="2:8" x14ac:dyDescent="0.25">
      <c r="B277" s="37"/>
      <c r="C277" s="57" t="s">
        <v>463</v>
      </c>
      <c r="D277" s="36" t="s">
        <v>614</v>
      </c>
      <c r="E277" s="56">
        <v>1.8082605268648162</v>
      </c>
      <c r="F277" s="56"/>
      <c r="G277" s="56"/>
      <c r="H277" s="109"/>
    </row>
    <row r="278" spans="2:8" x14ac:dyDescent="0.25">
      <c r="B278" s="37"/>
      <c r="C278" s="57" t="s">
        <v>464</v>
      </c>
      <c r="D278" s="36" t="s">
        <v>615</v>
      </c>
      <c r="E278" s="56">
        <v>1.6502571798572108</v>
      </c>
      <c r="F278" s="56"/>
      <c r="G278" s="56"/>
      <c r="H278" s="109"/>
    </row>
    <row r="279" spans="2:8" x14ac:dyDescent="0.25">
      <c r="B279" s="37"/>
      <c r="C279" s="57" t="s">
        <v>465</v>
      </c>
      <c r="D279" s="36" t="s">
        <v>616</v>
      </c>
      <c r="E279" s="56">
        <v>0.65834727919835545</v>
      </c>
      <c r="F279" s="56"/>
      <c r="G279" s="56"/>
      <c r="H279" s="109"/>
    </row>
    <row r="280" spans="2:8" x14ac:dyDescent="0.25">
      <c r="C280" s="57" t="s">
        <v>466</v>
      </c>
      <c r="D280" s="36" t="s">
        <v>628</v>
      </c>
      <c r="E280" s="56">
        <v>1.8082605268648162</v>
      </c>
      <c r="F280" s="56"/>
      <c r="G280" s="56"/>
      <c r="H280" s="109"/>
    </row>
    <row r="281" spans="2:8" x14ac:dyDescent="0.25">
      <c r="C281" s="57" t="s">
        <v>467</v>
      </c>
      <c r="D281" s="36" t="s">
        <v>629</v>
      </c>
      <c r="E281" s="56">
        <v>1.6502571798572108</v>
      </c>
      <c r="F281" s="56"/>
      <c r="G281" s="56"/>
      <c r="H281" s="109"/>
    </row>
    <row r="282" spans="2:8" x14ac:dyDescent="0.25">
      <c r="C282" s="57" t="s">
        <v>468</v>
      </c>
      <c r="D282" s="36" t="s">
        <v>630</v>
      </c>
      <c r="E282" s="56">
        <v>0.65834727919835545</v>
      </c>
      <c r="F282" s="56"/>
      <c r="G282" s="56"/>
      <c r="H282" s="109"/>
    </row>
    <row r="283" spans="2:8" x14ac:dyDescent="0.25">
      <c r="C283" s="57"/>
      <c r="D283" s="36"/>
      <c r="E283" s="56"/>
      <c r="F283" s="56"/>
      <c r="G283" s="56"/>
    </row>
    <row r="284" spans="2:8" x14ac:dyDescent="0.25">
      <c r="B284" s="88" t="s">
        <v>444</v>
      </c>
      <c r="C284" s="57"/>
      <c r="D284" s="36"/>
      <c r="E284" s="56"/>
      <c r="F284" s="56"/>
      <c r="G284" s="56"/>
    </row>
    <row r="285" spans="2:8" x14ac:dyDescent="0.25">
      <c r="C285" s="57" t="s">
        <v>387</v>
      </c>
      <c r="D285" s="36" t="s">
        <v>617</v>
      </c>
      <c r="E285" s="92">
        <v>2.1503456065000001E-3</v>
      </c>
      <c r="F285" s="56"/>
      <c r="G285" s="92"/>
      <c r="H285" s="111"/>
    </row>
    <row r="286" spans="2:8" x14ac:dyDescent="0.25">
      <c r="C286" s="57" t="s">
        <v>389</v>
      </c>
      <c r="D286" s="36" t="s">
        <v>918</v>
      </c>
      <c r="E286" s="92">
        <v>2.1503456065000001E-3</v>
      </c>
      <c r="F286" s="56"/>
      <c r="G286" s="92"/>
      <c r="H286" s="111"/>
    </row>
    <row r="287" spans="2:8" x14ac:dyDescent="0.25">
      <c r="C287" s="57"/>
      <c r="D287" s="36"/>
      <c r="E287" s="56"/>
      <c r="F287" s="56"/>
      <c r="G287" s="56"/>
    </row>
    <row r="288" spans="2:8" x14ac:dyDescent="0.25">
      <c r="B288" s="88" t="s">
        <v>445</v>
      </c>
      <c r="C288" s="57"/>
      <c r="E288" s="56"/>
      <c r="F288" s="56"/>
      <c r="G288" s="56"/>
    </row>
    <row r="289" spans="2:8" x14ac:dyDescent="0.25">
      <c r="C289" s="57" t="s">
        <v>387</v>
      </c>
      <c r="D289" s="36" t="s">
        <v>618</v>
      </c>
      <c r="E289" s="92">
        <v>-1.0804692210000001E-3</v>
      </c>
      <c r="F289" s="56"/>
      <c r="G289" s="92"/>
      <c r="H289" s="111"/>
    </row>
    <row r="290" spans="2:8" x14ac:dyDescent="0.25">
      <c r="C290" s="57" t="s">
        <v>389</v>
      </c>
      <c r="D290" s="36" t="s">
        <v>917</v>
      </c>
      <c r="E290" s="92">
        <v>-1.0804692210000001E-3</v>
      </c>
      <c r="F290" s="56"/>
      <c r="G290" s="92"/>
      <c r="H290" s="111"/>
    </row>
    <row r="291" spans="2:8" x14ac:dyDescent="0.25">
      <c r="C291" s="57"/>
      <c r="D291" s="36"/>
      <c r="E291" s="56"/>
      <c r="F291" s="56"/>
      <c r="G291" s="56"/>
    </row>
    <row r="292" spans="2:8" x14ac:dyDescent="0.25">
      <c r="B292" s="95" t="s">
        <v>451</v>
      </c>
      <c r="C292" s="57"/>
      <c r="D292" s="36"/>
      <c r="E292" s="56"/>
      <c r="F292" s="56"/>
      <c r="G292" s="56"/>
    </row>
    <row r="293" spans="2:8" x14ac:dyDescent="0.25">
      <c r="C293" s="36" t="s">
        <v>387</v>
      </c>
      <c r="D293" s="36" t="s">
        <v>619</v>
      </c>
      <c r="E293" s="56">
        <v>1.080469221</v>
      </c>
      <c r="F293" s="56"/>
      <c r="G293" s="56"/>
      <c r="H293" s="109"/>
    </row>
    <row r="294" spans="2:8" x14ac:dyDescent="0.25">
      <c r="C294" s="57" t="s">
        <v>398</v>
      </c>
      <c r="D294" s="36" t="s">
        <v>631</v>
      </c>
      <c r="E294" s="56">
        <v>1.080469221</v>
      </c>
      <c r="F294" s="56"/>
      <c r="G294" s="56"/>
      <c r="H294" s="109"/>
    </row>
    <row r="295" spans="2:8" x14ac:dyDescent="0.25">
      <c r="C295" s="57"/>
      <c r="D295" s="57"/>
      <c r="E295" s="56"/>
      <c r="F295" s="56"/>
      <c r="G295" s="56"/>
    </row>
    <row r="296" spans="2:8" x14ac:dyDescent="0.25">
      <c r="B296" s="37" t="s">
        <v>437</v>
      </c>
      <c r="C296" s="89"/>
      <c r="D296" s="89"/>
      <c r="E296" s="56"/>
      <c r="F296" s="56"/>
      <c r="G296" s="56"/>
    </row>
    <row r="297" spans="2:8" x14ac:dyDescent="0.25">
      <c r="B297" s="31"/>
      <c r="C297" s="36" t="s">
        <v>387</v>
      </c>
      <c r="D297" s="36" t="s">
        <v>609</v>
      </c>
      <c r="E297" s="54">
        <v>-0.01</v>
      </c>
      <c r="F297" s="54"/>
      <c r="G297" s="54"/>
      <c r="H297" s="110"/>
    </row>
    <row r="298" spans="2:8" x14ac:dyDescent="0.25">
      <c r="B298" s="31"/>
      <c r="C298" s="36" t="s">
        <v>469</v>
      </c>
      <c r="D298" s="36" t="s">
        <v>610</v>
      </c>
      <c r="E298" s="54">
        <v>-0.01</v>
      </c>
      <c r="F298" s="54"/>
      <c r="G298" s="54"/>
      <c r="H298" s="110"/>
    </row>
    <row r="299" spans="2:8" x14ac:dyDescent="0.25">
      <c r="C299" s="89"/>
      <c r="D299" s="89"/>
      <c r="E299" s="56"/>
      <c r="F299" s="56"/>
      <c r="G299" s="56"/>
    </row>
    <row r="300" spans="2:8" x14ac:dyDescent="0.25">
      <c r="B300" s="88" t="s">
        <v>470</v>
      </c>
      <c r="C300" s="36"/>
      <c r="D300" s="36"/>
      <c r="E300" s="56"/>
      <c r="F300" s="56"/>
      <c r="G300" s="56"/>
    </row>
    <row r="301" spans="2:8" x14ac:dyDescent="0.25">
      <c r="B301" s="88" t="s">
        <v>348</v>
      </c>
      <c r="C301" s="36"/>
      <c r="D301" s="36"/>
      <c r="E301" s="56"/>
      <c r="F301" s="56"/>
      <c r="G301" s="56"/>
    </row>
    <row r="302" spans="2:8" x14ac:dyDescent="0.25">
      <c r="C302" s="36" t="s">
        <v>453</v>
      </c>
      <c r="D302" s="36" t="s">
        <v>559</v>
      </c>
      <c r="E302" s="56">
        <v>136.05437718013363</v>
      </c>
      <c r="F302" s="56"/>
      <c r="G302" s="56"/>
      <c r="H302" s="109"/>
    </row>
    <row r="303" spans="2:8" x14ac:dyDescent="0.25">
      <c r="C303" s="36" t="s">
        <v>471</v>
      </c>
      <c r="D303" s="36" t="s">
        <v>560</v>
      </c>
      <c r="E303" s="56">
        <v>136.05437718013363</v>
      </c>
      <c r="F303" s="56"/>
      <c r="G303" s="56"/>
      <c r="H303" s="109"/>
    </row>
    <row r="304" spans="2:8" x14ac:dyDescent="0.25">
      <c r="B304" s="88" t="s">
        <v>400</v>
      </c>
      <c r="C304" s="36"/>
      <c r="D304" s="36"/>
      <c r="E304" s="56"/>
      <c r="F304" s="56"/>
      <c r="G304" s="56"/>
    </row>
    <row r="305" spans="2:8" x14ac:dyDescent="0.25">
      <c r="C305" s="36" t="s">
        <v>453</v>
      </c>
      <c r="D305" s="36" t="s">
        <v>561</v>
      </c>
      <c r="E305" s="92">
        <v>1.2314277017726343E-2</v>
      </c>
      <c r="F305" s="56"/>
      <c r="G305" s="92"/>
      <c r="H305" s="111"/>
    </row>
    <row r="306" spans="2:8" x14ac:dyDescent="0.25">
      <c r="C306" s="36" t="s">
        <v>403</v>
      </c>
      <c r="D306" s="36" t="s">
        <v>562</v>
      </c>
      <c r="E306" s="92">
        <v>2.216783838464725E-2</v>
      </c>
      <c r="F306" s="56"/>
      <c r="G306" s="92"/>
      <c r="H306" s="111"/>
    </row>
    <row r="307" spans="2:8" x14ac:dyDescent="0.25">
      <c r="C307" s="36" t="s">
        <v>406</v>
      </c>
      <c r="D307" s="36" t="s">
        <v>563</v>
      </c>
      <c r="E307" s="92">
        <v>1.0812318894059951E-2</v>
      </c>
      <c r="F307" s="56"/>
      <c r="G307" s="92"/>
      <c r="H307" s="111"/>
    </row>
    <row r="308" spans="2:8" x14ac:dyDescent="0.25">
      <c r="C308" s="36" t="s">
        <v>1254</v>
      </c>
      <c r="D308" s="36" t="s">
        <v>1247</v>
      </c>
      <c r="E308" s="92">
        <v>7.5920969489680296E-3</v>
      </c>
      <c r="F308" s="56"/>
      <c r="G308" s="92"/>
      <c r="H308" s="111"/>
    </row>
    <row r="309" spans="2:8" x14ac:dyDescent="0.25">
      <c r="B309" s="88" t="s">
        <v>407</v>
      </c>
      <c r="C309" s="36"/>
      <c r="D309" s="36"/>
      <c r="E309" s="56"/>
      <c r="F309" s="56"/>
      <c r="G309" s="56"/>
      <c r="H309" s="96"/>
    </row>
    <row r="310" spans="2:8" x14ac:dyDescent="0.25">
      <c r="B310" s="88"/>
      <c r="C310" s="36" t="s">
        <v>472</v>
      </c>
      <c r="D310" s="36" t="s">
        <v>564</v>
      </c>
      <c r="E310" s="92">
        <v>9.1688404901750439E-3</v>
      </c>
      <c r="F310" s="56"/>
      <c r="G310" s="92"/>
      <c r="H310" s="111"/>
    </row>
    <row r="311" spans="2:8" x14ac:dyDescent="0.25">
      <c r="C311" s="36" t="s">
        <v>403</v>
      </c>
      <c r="D311" s="36" t="s">
        <v>565</v>
      </c>
      <c r="E311" s="92">
        <v>9.1688404901750439E-3</v>
      </c>
      <c r="F311" s="56"/>
      <c r="G311" s="92"/>
      <c r="H311" s="111"/>
    </row>
    <row r="312" spans="2:8" x14ac:dyDescent="0.25">
      <c r="C312" s="36" t="s">
        <v>406</v>
      </c>
      <c r="D312" s="36" t="s">
        <v>566</v>
      </c>
      <c r="E312" s="92">
        <v>9.1688404901750439E-3</v>
      </c>
      <c r="F312" s="56"/>
      <c r="G312" s="92"/>
      <c r="H312" s="111"/>
    </row>
    <row r="313" spans="2:8" x14ac:dyDescent="0.25">
      <c r="C313" s="36" t="s">
        <v>1254</v>
      </c>
      <c r="D313" s="36" t="s">
        <v>1248</v>
      </c>
      <c r="E313" s="92">
        <v>9.1688404901750439E-3</v>
      </c>
      <c r="F313" s="56"/>
      <c r="G313" s="92"/>
      <c r="H313" s="111"/>
    </row>
    <row r="314" spans="2:8" x14ac:dyDescent="0.25">
      <c r="B314" s="88" t="s">
        <v>411</v>
      </c>
      <c r="C314" s="36"/>
      <c r="D314" s="36"/>
      <c r="E314" s="56"/>
      <c r="F314" s="56"/>
      <c r="G314" s="56"/>
    </row>
    <row r="315" spans="2:8" x14ac:dyDescent="0.25">
      <c r="C315" s="36" t="s">
        <v>453</v>
      </c>
      <c r="D315" s="36" t="s">
        <v>594</v>
      </c>
      <c r="E315" s="56">
        <v>13.528692539970505</v>
      </c>
      <c r="F315" s="56"/>
      <c r="G315" s="56"/>
      <c r="H315" s="109"/>
    </row>
    <row r="316" spans="2:8" x14ac:dyDescent="0.25">
      <c r="C316" s="36" t="s">
        <v>473</v>
      </c>
      <c r="D316" s="36" t="s">
        <v>597</v>
      </c>
      <c r="E316" s="56">
        <v>1.6433626520945765</v>
      </c>
      <c r="F316" s="56"/>
      <c r="G316" s="56"/>
      <c r="H316" s="109"/>
    </row>
    <row r="317" spans="2:8" x14ac:dyDescent="0.25">
      <c r="C317" s="36" t="s">
        <v>474</v>
      </c>
      <c r="D317" s="36" t="s">
        <v>598</v>
      </c>
      <c r="E317" s="56">
        <v>11.885329887875928</v>
      </c>
      <c r="F317" s="56"/>
      <c r="G317" s="56"/>
      <c r="H317" s="109"/>
    </row>
    <row r="318" spans="2:8" x14ac:dyDescent="0.25">
      <c r="B318" s="88" t="s">
        <v>418</v>
      </c>
      <c r="C318" s="36"/>
      <c r="D318" s="36"/>
      <c r="E318" s="56"/>
      <c r="F318" s="56"/>
      <c r="G318" s="56"/>
    </row>
    <row r="319" spans="2:8" x14ac:dyDescent="0.25">
      <c r="B319" s="88"/>
      <c r="C319" s="36" t="s">
        <v>475</v>
      </c>
      <c r="D319" s="36" t="s">
        <v>595</v>
      </c>
      <c r="E319" s="56">
        <v>1.3777686881196956</v>
      </c>
      <c r="F319" s="56"/>
      <c r="G319" s="56"/>
      <c r="H319" s="109"/>
    </row>
    <row r="320" spans="2:8" x14ac:dyDescent="0.25">
      <c r="B320" s="88"/>
      <c r="C320" s="36" t="s">
        <v>476</v>
      </c>
      <c r="D320" s="36" t="s">
        <v>596</v>
      </c>
      <c r="E320" s="56">
        <v>1.6267630293461466</v>
      </c>
      <c r="F320" s="56"/>
      <c r="G320" s="56"/>
      <c r="H320" s="109"/>
    </row>
    <row r="321" spans="2:8" x14ac:dyDescent="0.25">
      <c r="B321" s="88"/>
      <c r="C321" s="36" t="s">
        <v>477</v>
      </c>
      <c r="D321" s="36" t="s">
        <v>599</v>
      </c>
      <c r="E321" s="56">
        <v>0.64738528718877264</v>
      </c>
      <c r="F321" s="56"/>
      <c r="G321" s="56"/>
      <c r="H321" s="109"/>
    </row>
    <row r="322" spans="2:8" x14ac:dyDescent="0.25">
      <c r="C322" s="36" t="s">
        <v>478</v>
      </c>
      <c r="D322" s="36" t="s">
        <v>600</v>
      </c>
      <c r="E322" s="56">
        <v>1.3777686881196956</v>
      </c>
      <c r="F322" s="56"/>
      <c r="G322" s="56"/>
      <c r="H322" s="109"/>
    </row>
    <row r="323" spans="2:8" x14ac:dyDescent="0.25">
      <c r="C323" s="36" t="s">
        <v>479</v>
      </c>
      <c r="D323" s="36" t="s">
        <v>601</v>
      </c>
      <c r="E323" s="56">
        <v>1.6267630293461466</v>
      </c>
      <c r="F323" s="56"/>
      <c r="G323" s="56"/>
      <c r="H323" s="109"/>
    </row>
    <row r="324" spans="2:8" x14ac:dyDescent="0.25">
      <c r="C324" s="36" t="s">
        <v>480</v>
      </c>
      <c r="D324" s="36" t="s">
        <v>602</v>
      </c>
      <c r="E324" s="56">
        <v>0.64738528718877264</v>
      </c>
      <c r="F324" s="56"/>
      <c r="G324" s="56"/>
      <c r="H324" s="109"/>
    </row>
    <row r="325" spans="2:8" x14ac:dyDescent="0.25">
      <c r="C325" s="36"/>
      <c r="D325" s="36"/>
      <c r="E325" s="56"/>
      <c r="F325" s="56"/>
      <c r="G325" s="56"/>
    </row>
    <row r="326" spans="2:8" x14ac:dyDescent="0.25">
      <c r="B326" s="88" t="s">
        <v>444</v>
      </c>
      <c r="C326" s="36"/>
      <c r="D326" s="36"/>
      <c r="E326" s="56"/>
      <c r="F326" s="56"/>
      <c r="G326" s="56"/>
    </row>
    <row r="327" spans="2:8" x14ac:dyDescent="0.25">
      <c r="C327" s="36" t="s">
        <v>365</v>
      </c>
      <c r="D327" s="36" t="s">
        <v>603</v>
      </c>
      <c r="E327" s="92">
        <v>2.1503455751765129E-3</v>
      </c>
      <c r="F327" s="56"/>
      <c r="G327" s="92"/>
      <c r="H327" s="111"/>
    </row>
    <row r="328" spans="2:8" x14ac:dyDescent="0.25">
      <c r="C328" s="36" t="s">
        <v>372</v>
      </c>
      <c r="D328" s="36" t="s">
        <v>604</v>
      </c>
      <c r="E328" s="92">
        <v>2.1503455751765129E-3</v>
      </c>
      <c r="F328" s="56"/>
      <c r="G328" s="92"/>
      <c r="H328" s="111"/>
    </row>
    <row r="329" spans="2:8" x14ac:dyDescent="0.25">
      <c r="B329" s="88" t="s">
        <v>445</v>
      </c>
      <c r="C329" s="36"/>
      <c r="D329" s="36"/>
      <c r="E329" s="56"/>
      <c r="F329" s="56"/>
      <c r="G329" s="56"/>
    </row>
    <row r="330" spans="2:8" x14ac:dyDescent="0.25">
      <c r="C330" s="36" t="s">
        <v>365</v>
      </c>
      <c r="D330" s="36" t="s">
        <v>605</v>
      </c>
      <c r="E330" s="92">
        <v>-1.0804692052611049E-3</v>
      </c>
      <c r="F330" s="56"/>
      <c r="G330" s="92"/>
      <c r="H330" s="111"/>
    </row>
    <row r="331" spans="2:8" x14ac:dyDescent="0.25">
      <c r="C331" s="36" t="s">
        <v>372</v>
      </c>
      <c r="D331" s="36" t="s">
        <v>606</v>
      </c>
      <c r="E331" s="92">
        <v>-1.0804692052611049E-3</v>
      </c>
      <c r="F331" s="56"/>
      <c r="G331" s="92"/>
      <c r="H331" s="111"/>
    </row>
    <row r="332" spans="2:8" x14ac:dyDescent="0.25">
      <c r="C332" s="36"/>
      <c r="D332" s="36"/>
      <c r="E332" s="56"/>
      <c r="F332" s="56"/>
      <c r="G332" s="56"/>
    </row>
    <row r="333" spans="2:8" x14ac:dyDescent="0.25">
      <c r="B333" s="88" t="s">
        <v>451</v>
      </c>
      <c r="C333" s="36"/>
      <c r="D333" s="36"/>
      <c r="E333" s="56"/>
      <c r="F333" s="56"/>
      <c r="G333" s="56"/>
    </row>
    <row r="334" spans="2:8" x14ac:dyDescent="0.25">
      <c r="C334" s="36" t="s">
        <v>453</v>
      </c>
      <c r="D334" s="36" t="s">
        <v>607</v>
      </c>
      <c r="E334" s="56">
        <v>1.0804692052611049</v>
      </c>
      <c r="F334" s="56"/>
      <c r="G334" s="56"/>
      <c r="H334" s="109"/>
    </row>
    <row r="335" spans="2:8" x14ac:dyDescent="0.25">
      <c r="C335" s="36" t="s">
        <v>399</v>
      </c>
      <c r="D335" s="36" t="s">
        <v>608</v>
      </c>
      <c r="E335" s="56">
        <v>1.0804692052611049</v>
      </c>
      <c r="F335" s="56"/>
      <c r="G335" s="56"/>
      <c r="H335" s="109"/>
    </row>
    <row r="336" spans="2:8" x14ac:dyDescent="0.25">
      <c r="C336" s="36"/>
      <c r="D336" s="36"/>
      <c r="E336" s="56"/>
      <c r="F336" s="56"/>
      <c r="G336" s="56"/>
    </row>
    <row r="337" spans="2:8" x14ac:dyDescent="0.25">
      <c r="B337" s="88" t="s">
        <v>481</v>
      </c>
      <c r="C337" s="97"/>
      <c r="D337" s="97"/>
      <c r="E337" s="56"/>
      <c r="F337" s="56"/>
      <c r="G337" s="56"/>
    </row>
    <row r="338" spans="2:8" x14ac:dyDescent="0.25">
      <c r="C338" s="89"/>
      <c r="D338" s="89"/>
      <c r="E338" s="56"/>
      <c r="F338" s="56"/>
      <c r="G338" s="56"/>
    </row>
    <row r="339" spans="2:8" x14ac:dyDescent="0.25">
      <c r="B339" s="31" t="s">
        <v>482</v>
      </c>
      <c r="C339" s="89"/>
      <c r="D339" s="89" t="s">
        <v>549</v>
      </c>
      <c r="E339" s="56">
        <v>0.71</v>
      </c>
      <c r="F339" s="56"/>
      <c r="G339" s="56"/>
      <c r="H339" s="109"/>
    </row>
    <row r="340" spans="2:8" x14ac:dyDescent="0.25">
      <c r="C340" s="89"/>
      <c r="D340" s="89"/>
      <c r="E340" s="56"/>
      <c r="F340" s="56"/>
      <c r="G340" s="56"/>
    </row>
    <row r="341" spans="2:8" x14ac:dyDescent="0.25">
      <c r="B341" s="31" t="s">
        <v>342</v>
      </c>
      <c r="C341" s="89"/>
      <c r="D341" s="89" t="s">
        <v>497</v>
      </c>
      <c r="E341" s="92">
        <v>3.2599999999999997E-2</v>
      </c>
      <c r="F341" s="56"/>
      <c r="G341" s="92"/>
      <c r="H341" s="111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3B8A7-7BE9-42EC-9EE9-ACEC6DF0F915}">
  <dimension ref="A2:C164"/>
  <sheetViews>
    <sheetView workbookViewId="0">
      <selection activeCell="K29" sqref="K29"/>
    </sheetView>
  </sheetViews>
  <sheetFormatPr defaultRowHeight="15" x14ac:dyDescent="0.25"/>
  <cols>
    <col min="1" max="1" width="35.28515625" bestFit="1" customWidth="1"/>
    <col min="3" max="3" width="14" style="89" bestFit="1" customWidth="1"/>
  </cols>
  <sheetData>
    <row r="2" spans="1:3" x14ac:dyDescent="0.25">
      <c r="C2" s="171" t="s">
        <v>1211</v>
      </c>
    </row>
    <row r="3" spans="1:3" x14ac:dyDescent="0.25">
      <c r="A3" s="85" t="s">
        <v>496</v>
      </c>
      <c r="B3" s="182" t="s">
        <v>856</v>
      </c>
      <c r="C3" s="90">
        <v>2025</v>
      </c>
    </row>
    <row r="4" spans="1:3" x14ac:dyDescent="0.25">
      <c r="A4" s="173" t="s">
        <v>1212</v>
      </c>
      <c r="B4" s="173">
        <v>468</v>
      </c>
      <c r="C4" s="172" t="s">
        <v>1514</v>
      </c>
    </row>
    <row r="5" spans="1:3" x14ac:dyDescent="0.25">
      <c r="A5" s="173"/>
      <c r="B5" s="173">
        <v>478</v>
      </c>
      <c r="C5" s="172" t="s">
        <v>1514</v>
      </c>
    </row>
    <row r="6" spans="1:3" x14ac:dyDescent="0.25">
      <c r="A6" s="173"/>
      <c r="B6" s="173">
        <v>509</v>
      </c>
      <c r="C6" s="172" t="s">
        <v>1514</v>
      </c>
    </row>
    <row r="7" spans="1:3" x14ac:dyDescent="0.25">
      <c r="A7" s="173"/>
      <c r="B7" s="173">
        <v>550</v>
      </c>
      <c r="C7" s="172" t="s">
        <v>1514</v>
      </c>
    </row>
    <row r="8" spans="1:3" x14ac:dyDescent="0.25">
      <c r="A8" s="173"/>
      <c r="B8" s="173">
        <v>552</v>
      </c>
      <c r="C8" s="172" t="s">
        <v>1514</v>
      </c>
    </row>
    <row r="9" spans="1:3" x14ac:dyDescent="0.25">
      <c r="A9" s="173"/>
      <c r="B9" s="173">
        <v>566</v>
      </c>
      <c r="C9" s="172" t="s">
        <v>1514</v>
      </c>
    </row>
    <row r="10" spans="1:3" x14ac:dyDescent="0.25">
      <c r="A10" s="173"/>
      <c r="B10" s="173">
        <v>570</v>
      </c>
      <c r="C10" s="172" t="s">
        <v>1514</v>
      </c>
    </row>
    <row r="11" spans="1:3" x14ac:dyDescent="0.25">
      <c r="A11" s="173"/>
      <c r="B11" s="173">
        <v>572</v>
      </c>
      <c r="C11" s="172" t="s">
        <v>1514</v>
      </c>
    </row>
    <row r="12" spans="1:3" x14ac:dyDescent="0.25">
      <c r="A12" s="173"/>
      <c r="B12" s="173">
        <v>573</v>
      </c>
      <c r="C12" s="172" t="s">
        <v>1514</v>
      </c>
    </row>
    <row r="13" spans="1:3" x14ac:dyDescent="0.25">
      <c r="A13" s="173"/>
      <c r="B13" s="173">
        <v>800</v>
      </c>
      <c r="C13" s="172" t="s">
        <v>1514</v>
      </c>
    </row>
    <row r="14" spans="1:3" x14ac:dyDescent="0.25">
      <c r="A14" s="173"/>
      <c r="B14" s="173">
        <v>802</v>
      </c>
      <c r="C14" s="172" t="s">
        <v>1514</v>
      </c>
    </row>
    <row r="15" spans="1:3" x14ac:dyDescent="0.25">
      <c r="A15" s="173"/>
      <c r="B15" s="173">
        <v>803</v>
      </c>
      <c r="C15" s="172" t="s">
        <v>1514</v>
      </c>
    </row>
    <row r="16" spans="1:3" x14ac:dyDescent="0.25">
      <c r="A16" s="173"/>
      <c r="B16" s="173">
        <v>804</v>
      </c>
      <c r="C16" s="172" t="s">
        <v>1514</v>
      </c>
    </row>
    <row r="17" spans="1:3" x14ac:dyDescent="0.25">
      <c r="A17" s="173"/>
      <c r="B17" s="173">
        <v>805</v>
      </c>
      <c r="C17" s="172" t="s">
        <v>1514</v>
      </c>
    </row>
    <row r="18" spans="1:3" x14ac:dyDescent="0.25">
      <c r="A18" s="173"/>
      <c r="B18" s="173">
        <v>806</v>
      </c>
      <c r="C18" s="172" t="s">
        <v>1514</v>
      </c>
    </row>
    <row r="19" spans="1:3" x14ac:dyDescent="0.25">
      <c r="A19" s="173"/>
      <c r="B19" s="173">
        <v>809</v>
      </c>
      <c r="C19" s="172" t="s">
        <v>1514</v>
      </c>
    </row>
    <row r="20" spans="1:3" x14ac:dyDescent="0.25">
      <c r="A20" s="173"/>
      <c r="B20" s="173">
        <v>810</v>
      </c>
      <c r="C20" s="172" t="s">
        <v>1514</v>
      </c>
    </row>
    <row r="21" spans="1:3" x14ac:dyDescent="0.25">
      <c r="A21" s="174" t="s">
        <v>1007</v>
      </c>
      <c r="B21" s="174">
        <v>484</v>
      </c>
      <c r="C21" s="172" t="s">
        <v>1514</v>
      </c>
    </row>
    <row r="22" spans="1:3" x14ac:dyDescent="0.25">
      <c r="A22" s="174"/>
      <c r="B22" s="174">
        <v>530</v>
      </c>
      <c r="C22" s="172" t="s">
        <v>1514</v>
      </c>
    </row>
    <row r="23" spans="1:3" x14ac:dyDescent="0.25">
      <c r="A23" s="174"/>
      <c r="B23" s="174">
        <v>533</v>
      </c>
      <c r="C23" s="172" t="s">
        <v>1514</v>
      </c>
    </row>
    <row r="24" spans="1:3" x14ac:dyDescent="0.25">
      <c r="A24" s="174"/>
      <c r="B24" s="174">
        <v>862</v>
      </c>
      <c r="C24" s="172" t="s">
        <v>1514</v>
      </c>
    </row>
    <row r="25" spans="1:3" x14ac:dyDescent="0.25">
      <c r="A25" s="174"/>
      <c r="B25" s="174">
        <v>863</v>
      </c>
      <c r="C25" s="172" t="s">
        <v>1514</v>
      </c>
    </row>
    <row r="26" spans="1:3" x14ac:dyDescent="0.25">
      <c r="A26" s="174"/>
      <c r="B26" s="174">
        <v>864</v>
      </c>
      <c r="C26" s="172" t="s">
        <v>1514</v>
      </c>
    </row>
    <row r="27" spans="1:3" x14ac:dyDescent="0.25">
      <c r="A27" s="174"/>
      <c r="B27" s="174">
        <v>866</v>
      </c>
      <c r="C27" s="172" t="s">
        <v>1514</v>
      </c>
    </row>
    <row r="28" spans="1:3" x14ac:dyDescent="0.25">
      <c r="A28" s="174"/>
      <c r="B28" s="174">
        <v>869</v>
      </c>
      <c r="C28" s="172" t="s">
        <v>1514</v>
      </c>
    </row>
    <row r="29" spans="1:3" x14ac:dyDescent="0.25">
      <c r="A29" s="175" t="s">
        <v>1213</v>
      </c>
      <c r="B29" s="175">
        <v>520</v>
      </c>
      <c r="C29" s="172" t="s">
        <v>1514</v>
      </c>
    </row>
    <row r="30" spans="1:3" x14ac:dyDescent="0.25">
      <c r="A30" s="175"/>
      <c r="B30" s="175">
        <v>554</v>
      </c>
      <c r="C30" s="172" t="s">
        <v>1514</v>
      </c>
    </row>
    <row r="31" spans="1:3" x14ac:dyDescent="0.25">
      <c r="A31" s="175"/>
      <c r="B31" s="175">
        <v>556</v>
      </c>
      <c r="C31" s="172" t="s">
        <v>1514</v>
      </c>
    </row>
    <row r="32" spans="1:3" x14ac:dyDescent="0.25">
      <c r="A32" s="175"/>
      <c r="B32" s="175">
        <v>558</v>
      </c>
      <c r="C32" s="172" t="s">
        <v>1514</v>
      </c>
    </row>
    <row r="33" spans="1:3" x14ac:dyDescent="0.25">
      <c r="A33" s="175"/>
      <c r="B33" s="175">
        <v>564</v>
      </c>
      <c r="C33" s="172" t="s">
        <v>1514</v>
      </c>
    </row>
    <row r="34" spans="1:3" x14ac:dyDescent="0.25">
      <c r="A34" s="175"/>
      <c r="B34" s="175">
        <v>574</v>
      </c>
      <c r="C34" s="172" t="s">
        <v>1514</v>
      </c>
    </row>
    <row r="35" spans="1:3" x14ac:dyDescent="0.25">
      <c r="A35" s="175"/>
      <c r="B35" s="175">
        <v>575</v>
      </c>
      <c r="C35" s="172" t="s">
        <v>1514</v>
      </c>
    </row>
    <row r="36" spans="1:3" x14ac:dyDescent="0.25">
      <c r="A36" s="175"/>
      <c r="B36" s="175">
        <v>576</v>
      </c>
      <c r="C36" s="172" t="s">
        <v>1514</v>
      </c>
    </row>
    <row r="37" spans="1:3" x14ac:dyDescent="0.25">
      <c r="A37" s="175"/>
      <c r="B37" s="175">
        <v>700</v>
      </c>
      <c r="C37" s="172" t="s">
        <v>1514</v>
      </c>
    </row>
    <row r="38" spans="1:3" x14ac:dyDescent="0.25">
      <c r="A38" s="175"/>
      <c r="B38" s="175">
        <v>701</v>
      </c>
      <c r="C38" s="172" t="s">
        <v>1514</v>
      </c>
    </row>
    <row r="39" spans="1:3" x14ac:dyDescent="0.25">
      <c r="A39" s="175"/>
      <c r="B39" s="175">
        <v>702</v>
      </c>
      <c r="C39" s="172" t="s">
        <v>1514</v>
      </c>
    </row>
    <row r="40" spans="1:3" x14ac:dyDescent="0.25">
      <c r="A40" s="175"/>
      <c r="B40" s="175">
        <v>703</v>
      </c>
      <c r="C40" s="172" t="s">
        <v>1514</v>
      </c>
    </row>
    <row r="41" spans="1:3" x14ac:dyDescent="0.25">
      <c r="A41" s="175"/>
      <c r="B41" s="175">
        <v>704</v>
      </c>
      <c r="C41" s="172" t="s">
        <v>1514</v>
      </c>
    </row>
    <row r="42" spans="1:3" x14ac:dyDescent="0.25">
      <c r="A42" s="175"/>
      <c r="B42" s="175">
        <v>705</v>
      </c>
      <c r="C42" s="172" t="s">
        <v>1514</v>
      </c>
    </row>
    <row r="43" spans="1:3" x14ac:dyDescent="0.25">
      <c r="A43" s="176" t="s">
        <v>1025</v>
      </c>
      <c r="B43" s="176">
        <v>540</v>
      </c>
      <c r="C43" s="172" t="s">
        <v>1514</v>
      </c>
    </row>
    <row r="44" spans="1:3" x14ac:dyDescent="0.25">
      <c r="A44" s="176"/>
      <c r="B44" s="176">
        <v>548</v>
      </c>
      <c r="C44" s="172" t="s">
        <v>1514</v>
      </c>
    </row>
    <row r="45" spans="1:3" x14ac:dyDescent="0.25">
      <c r="A45" s="176"/>
      <c r="B45" s="176">
        <v>549</v>
      </c>
      <c r="C45" s="172" t="s">
        <v>1514</v>
      </c>
    </row>
    <row r="46" spans="1:3" x14ac:dyDescent="0.25">
      <c r="A46" s="176"/>
      <c r="B46" s="176">
        <v>568</v>
      </c>
      <c r="C46" s="172" t="s">
        <v>1514</v>
      </c>
    </row>
    <row r="47" spans="1:3" x14ac:dyDescent="0.25">
      <c r="A47" s="176"/>
      <c r="B47" s="176">
        <v>577</v>
      </c>
      <c r="C47" s="172" t="s">
        <v>1514</v>
      </c>
    </row>
    <row r="48" spans="1:3" x14ac:dyDescent="0.25">
      <c r="A48" s="176"/>
      <c r="B48" s="176">
        <v>578</v>
      </c>
      <c r="C48" s="172" t="s">
        <v>1514</v>
      </c>
    </row>
    <row r="49" spans="1:3" x14ac:dyDescent="0.25">
      <c r="A49" s="177" t="s">
        <v>1214</v>
      </c>
      <c r="B49" s="177">
        <v>425</v>
      </c>
      <c r="C49" s="172">
        <v>287</v>
      </c>
    </row>
    <row r="50" spans="1:3" x14ac:dyDescent="0.25">
      <c r="A50" s="177"/>
      <c r="B50" s="177">
        <v>594</v>
      </c>
      <c r="C50" s="172">
        <v>13487</v>
      </c>
    </row>
    <row r="51" spans="1:3" x14ac:dyDescent="0.25">
      <c r="A51" s="177"/>
      <c r="B51" s="177">
        <v>597</v>
      </c>
      <c r="C51" s="172">
        <v>20808</v>
      </c>
    </row>
    <row r="52" spans="1:3" x14ac:dyDescent="0.25">
      <c r="A52" s="177"/>
      <c r="B52" s="177">
        <v>626</v>
      </c>
      <c r="C52" s="172">
        <v>199058</v>
      </c>
    </row>
    <row r="53" spans="1:3" x14ac:dyDescent="0.25">
      <c r="A53" s="177"/>
      <c r="B53" s="177">
        <v>627</v>
      </c>
      <c r="C53" s="172">
        <v>233468</v>
      </c>
    </row>
    <row r="54" spans="1:3" x14ac:dyDescent="0.25">
      <c r="A54" s="177"/>
      <c r="B54" s="177">
        <v>637</v>
      </c>
      <c r="C54" s="172">
        <v>55862</v>
      </c>
    </row>
    <row r="55" spans="1:3" x14ac:dyDescent="0.25">
      <c r="A55" s="177"/>
      <c r="B55" s="177">
        <v>422</v>
      </c>
      <c r="C55" s="172">
        <v>896</v>
      </c>
    </row>
    <row r="56" spans="1:3" x14ac:dyDescent="0.25">
      <c r="A56" s="177"/>
      <c r="B56" s="177">
        <v>523</v>
      </c>
      <c r="C56" s="172">
        <v>1376</v>
      </c>
    </row>
    <row r="57" spans="1:3" x14ac:dyDescent="0.25">
      <c r="A57" s="177"/>
      <c r="B57" s="177">
        <v>525</v>
      </c>
      <c r="C57" s="172">
        <v>43526</v>
      </c>
    </row>
    <row r="58" spans="1:3" x14ac:dyDescent="0.25">
      <c r="A58" s="177"/>
      <c r="B58" s="177">
        <v>580</v>
      </c>
      <c r="C58" s="172">
        <v>1455</v>
      </c>
    </row>
    <row r="59" spans="1:3" x14ac:dyDescent="0.25">
      <c r="A59" s="177"/>
      <c r="B59" s="177">
        <v>581</v>
      </c>
      <c r="C59" s="172">
        <v>537</v>
      </c>
    </row>
    <row r="60" spans="1:3" x14ac:dyDescent="0.25">
      <c r="A60" s="177"/>
      <c r="B60" s="177">
        <v>582</v>
      </c>
      <c r="C60" s="172">
        <v>192212</v>
      </c>
    </row>
    <row r="61" spans="1:3" x14ac:dyDescent="0.25">
      <c r="A61" s="177"/>
      <c r="B61" s="177">
        <v>583</v>
      </c>
      <c r="C61" s="172">
        <v>6517</v>
      </c>
    </row>
    <row r="62" spans="1:3" x14ac:dyDescent="0.25">
      <c r="A62" s="177"/>
      <c r="B62" s="177">
        <v>584</v>
      </c>
      <c r="C62" s="172">
        <v>1695</v>
      </c>
    </row>
    <row r="63" spans="1:3" x14ac:dyDescent="0.25">
      <c r="A63" s="177"/>
      <c r="B63" s="177">
        <v>585</v>
      </c>
      <c r="C63" s="172">
        <v>1463</v>
      </c>
    </row>
    <row r="64" spans="1:3" x14ac:dyDescent="0.25">
      <c r="A64" s="177"/>
      <c r="B64" s="177">
        <v>586</v>
      </c>
      <c r="C64" s="172">
        <v>235155</v>
      </c>
    </row>
    <row r="65" spans="1:3" x14ac:dyDescent="0.25">
      <c r="A65" s="177"/>
      <c r="B65" s="177">
        <v>588</v>
      </c>
      <c r="C65" s="172">
        <v>178974</v>
      </c>
    </row>
    <row r="66" spans="1:3" x14ac:dyDescent="0.25">
      <c r="A66" s="177"/>
      <c r="B66" s="177">
        <v>589</v>
      </c>
      <c r="C66" s="172">
        <v>1512</v>
      </c>
    </row>
    <row r="67" spans="1:3" x14ac:dyDescent="0.25">
      <c r="A67" s="177"/>
      <c r="B67" s="177">
        <v>590</v>
      </c>
      <c r="C67" s="172">
        <v>274</v>
      </c>
    </row>
    <row r="68" spans="1:3" x14ac:dyDescent="0.25">
      <c r="A68" s="177"/>
      <c r="B68" s="177">
        <v>591</v>
      </c>
      <c r="C68" s="172">
        <v>17924</v>
      </c>
    </row>
    <row r="69" spans="1:3" x14ac:dyDescent="0.25">
      <c r="A69" s="177"/>
      <c r="B69" s="177">
        <v>592</v>
      </c>
      <c r="C69" s="172">
        <v>11419</v>
      </c>
    </row>
    <row r="70" spans="1:3" x14ac:dyDescent="0.25">
      <c r="A70" s="177"/>
      <c r="B70" s="177">
        <v>593</v>
      </c>
      <c r="C70" s="172">
        <v>92326</v>
      </c>
    </row>
    <row r="71" spans="1:3" x14ac:dyDescent="0.25">
      <c r="A71" s="177"/>
      <c r="B71" s="177">
        <v>595</v>
      </c>
      <c r="C71" s="172">
        <v>4867</v>
      </c>
    </row>
    <row r="72" spans="1:3" x14ac:dyDescent="0.25">
      <c r="A72" s="177"/>
      <c r="B72" s="177">
        <v>596</v>
      </c>
      <c r="C72" s="172">
        <v>19521</v>
      </c>
    </row>
    <row r="73" spans="1:3" x14ac:dyDescent="0.25">
      <c r="A73" s="177"/>
      <c r="B73" s="177">
        <v>599</v>
      </c>
      <c r="C73" s="172">
        <v>593</v>
      </c>
    </row>
    <row r="74" spans="1:3" x14ac:dyDescent="0.25">
      <c r="A74" s="177"/>
      <c r="B74" s="177">
        <v>607</v>
      </c>
      <c r="C74" s="172">
        <v>362275</v>
      </c>
    </row>
    <row r="75" spans="1:3" x14ac:dyDescent="0.25">
      <c r="A75" s="177"/>
      <c r="B75" s="177">
        <v>612</v>
      </c>
      <c r="C75" s="172">
        <v>48585</v>
      </c>
    </row>
    <row r="76" spans="1:3" x14ac:dyDescent="0.25">
      <c r="A76" s="177"/>
      <c r="B76" s="177">
        <v>614</v>
      </c>
      <c r="C76" s="172">
        <v>43498</v>
      </c>
    </row>
    <row r="77" spans="1:3" x14ac:dyDescent="0.25">
      <c r="A77" s="177"/>
      <c r="B77" s="177">
        <v>615</v>
      </c>
      <c r="C77" s="172">
        <v>30346</v>
      </c>
    </row>
    <row r="78" spans="1:3" x14ac:dyDescent="0.25">
      <c r="A78" s="177"/>
      <c r="B78" s="177">
        <v>616</v>
      </c>
      <c r="C78" s="172">
        <v>8599</v>
      </c>
    </row>
    <row r="79" spans="1:3" x14ac:dyDescent="0.25">
      <c r="A79" s="177"/>
      <c r="B79" s="177">
        <v>622</v>
      </c>
      <c r="C79" s="172">
        <v>4223</v>
      </c>
    </row>
    <row r="80" spans="1:3" x14ac:dyDescent="0.25">
      <c r="A80" s="177"/>
      <c r="B80" s="177">
        <v>623</v>
      </c>
      <c r="C80" s="172">
        <v>2416</v>
      </c>
    </row>
    <row r="81" spans="1:3" x14ac:dyDescent="0.25">
      <c r="A81" s="177"/>
      <c r="B81" s="177">
        <v>624</v>
      </c>
      <c r="C81" s="172">
        <v>47131</v>
      </c>
    </row>
    <row r="82" spans="1:3" x14ac:dyDescent="0.25">
      <c r="A82" s="177"/>
      <c r="B82" s="177">
        <v>641</v>
      </c>
      <c r="C82" s="172">
        <v>413</v>
      </c>
    </row>
    <row r="83" spans="1:3" x14ac:dyDescent="0.25">
      <c r="A83" s="178" t="s">
        <v>1215</v>
      </c>
      <c r="B83" s="178">
        <v>563</v>
      </c>
      <c r="C83" s="172">
        <v>120</v>
      </c>
    </row>
    <row r="84" spans="1:3" x14ac:dyDescent="0.25">
      <c r="A84" s="173" t="s">
        <v>1216</v>
      </c>
      <c r="B84" s="173">
        <v>569</v>
      </c>
      <c r="C84" s="172">
        <v>3360</v>
      </c>
    </row>
    <row r="85" spans="1:3" x14ac:dyDescent="0.25">
      <c r="A85" s="2" t="s">
        <v>1217</v>
      </c>
      <c r="B85" s="2">
        <v>290</v>
      </c>
      <c r="C85" s="172">
        <v>2831</v>
      </c>
    </row>
    <row r="86" spans="1:3" x14ac:dyDescent="0.25">
      <c r="A86" s="174" t="s">
        <v>1218</v>
      </c>
      <c r="B86" s="174">
        <v>820</v>
      </c>
      <c r="C86" s="172">
        <v>27841</v>
      </c>
    </row>
    <row r="87" spans="1:3" x14ac:dyDescent="0.25">
      <c r="A87" s="174"/>
      <c r="B87" s="174">
        <v>821</v>
      </c>
      <c r="C87" s="172">
        <v>284</v>
      </c>
    </row>
    <row r="88" spans="1:3" x14ac:dyDescent="0.25">
      <c r="A88" s="174"/>
      <c r="B88" s="174">
        <v>822</v>
      </c>
      <c r="C88" s="172">
        <v>391</v>
      </c>
    </row>
    <row r="89" spans="1:3" x14ac:dyDescent="0.25">
      <c r="A89" s="174"/>
      <c r="B89" s="174">
        <v>823</v>
      </c>
      <c r="C89" s="172">
        <v>24904</v>
      </c>
    </row>
    <row r="90" spans="1:3" x14ac:dyDescent="0.25">
      <c r="A90" s="174"/>
      <c r="B90" s="174">
        <v>824</v>
      </c>
      <c r="C90" s="172">
        <v>38356</v>
      </c>
    </row>
    <row r="91" spans="1:3" x14ac:dyDescent="0.25">
      <c r="A91" s="174"/>
      <c r="B91" s="174">
        <v>825</v>
      </c>
      <c r="C91" s="172">
        <v>13109</v>
      </c>
    </row>
    <row r="92" spans="1:3" x14ac:dyDescent="0.25">
      <c r="A92" s="174"/>
      <c r="B92" s="174">
        <v>826</v>
      </c>
      <c r="C92" s="172">
        <v>8301</v>
      </c>
    </row>
    <row r="93" spans="1:3" x14ac:dyDescent="0.25">
      <c r="A93" s="174"/>
      <c r="B93" s="174">
        <v>827</v>
      </c>
      <c r="C93" s="172">
        <v>67227</v>
      </c>
    </row>
    <row r="94" spans="1:3" x14ac:dyDescent="0.25">
      <c r="A94" s="174"/>
      <c r="B94" s="174">
        <v>828</v>
      </c>
      <c r="C94" s="172">
        <v>18438</v>
      </c>
    </row>
    <row r="95" spans="1:3" x14ac:dyDescent="0.25">
      <c r="A95" s="174"/>
      <c r="B95" s="174">
        <v>829</v>
      </c>
      <c r="C95" s="172">
        <v>5139</v>
      </c>
    </row>
    <row r="96" spans="1:3" x14ac:dyDescent="0.25">
      <c r="A96" s="174"/>
      <c r="B96" s="174">
        <v>830</v>
      </c>
      <c r="C96" s="172">
        <v>2013</v>
      </c>
    </row>
    <row r="97" spans="1:3" x14ac:dyDescent="0.25">
      <c r="A97" s="174"/>
      <c r="B97" s="174">
        <v>831</v>
      </c>
      <c r="C97" s="172">
        <v>2511</v>
      </c>
    </row>
    <row r="98" spans="1:3" x14ac:dyDescent="0.25">
      <c r="A98" s="174"/>
      <c r="B98" s="174">
        <v>832</v>
      </c>
      <c r="C98" s="172">
        <v>15193</v>
      </c>
    </row>
    <row r="99" spans="1:3" x14ac:dyDescent="0.25">
      <c r="A99" s="174"/>
      <c r="B99" s="174">
        <v>833</v>
      </c>
      <c r="C99" s="172">
        <v>663</v>
      </c>
    </row>
    <row r="100" spans="1:3" x14ac:dyDescent="0.25">
      <c r="A100" s="174"/>
      <c r="B100" s="174">
        <v>834</v>
      </c>
      <c r="C100" s="172">
        <v>225</v>
      </c>
    </row>
    <row r="101" spans="1:3" x14ac:dyDescent="0.25">
      <c r="A101" s="174"/>
      <c r="B101" s="174">
        <v>835</v>
      </c>
      <c r="C101" s="172">
        <v>7792</v>
      </c>
    </row>
    <row r="102" spans="1:3" x14ac:dyDescent="0.25">
      <c r="A102" s="174"/>
      <c r="B102" s="174">
        <v>836</v>
      </c>
      <c r="C102" s="172">
        <v>2049</v>
      </c>
    </row>
    <row r="103" spans="1:3" x14ac:dyDescent="0.25">
      <c r="A103" s="175" t="s">
        <v>1219</v>
      </c>
      <c r="B103" s="175">
        <v>840</v>
      </c>
      <c r="C103" s="172" t="s">
        <v>1514</v>
      </c>
    </row>
    <row r="104" spans="1:3" x14ac:dyDescent="0.25">
      <c r="A104" s="175"/>
      <c r="B104" s="175">
        <v>841</v>
      </c>
      <c r="C104" s="172">
        <v>47</v>
      </c>
    </row>
    <row r="105" spans="1:3" x14ac:dyDescent="0.25">
      <c r="A105" s="175"/>
      <c r="B105" s="175">
        <v>842</v>
      </c>
      <c r="C105" s="172" t="s">
        <v>1514</v>
      </c>
    </row>
    <row r="106" spans="1:3" x14ac:dyDescent="0.25">
      <c r="A106" s="175"/>
      <c r="B106" s="175">
        <v>843</v>
      </c>
      <c r="C106" s="172" t="s">
        <v>1514</v>
      </c>
    </row>
    <row r="107" spans="1:3" x14ac:dyDescent="0.25">
      <c r="A107" s="175"/>
      <c r="B107" s="175">
        <v>844</v>
      </c>
      <c r="C107" s="172">
        <v>47</v>
      </c>
    </row>
    <row r="108" spans="1:3" x14ac:dyDescent="0.25">
      <c r="A108" s="175"/>
      <c r="B108" s="175">
        <v>845</v>
      </c>
      <c r="C108" s="172" t="s">
        <v>1514</v>
      </c>
    </row>
    <row r="109" spans="1:3" x14ac:dyDescent="0.25">
      <c r="A109" s="175"/>
      <c r="B109" s="175">
        <v>846</v>
      </c>
      <c r="C109" s="172">
        <v>154</v>
      </c>
    </row>
    <row r="110" spans="1:3" x14ac:dyDescent="0.25">
      <c r="A110" s="175"/>
      <c r="B110" s="175">
        <v>847</v>
      </c>
      <c r="C110" s="172">
        <v>12</v>
      </c>
    </row>
    <row r="111" spans="1:3" x14ac:dyDescent="0.25">
      <c r="A111" s="175"/>
      <c r="B111" s="175">
        <v>848</v>
      </c>
      <c r="C111" s="172">
        <v>12</v>
      </c>
    </row>
    <row r="112" spans="1:3" x14ac:dyDescent="0.25">
      <c r="A112" s="175"/>
      <c r="B112" s="175">
        <v>849</v>
      </c>
      <c r="C112" s="172" t="s">
        <v>1514</v>
      </c>
    </row>
    <row r="113" spans="1:3" x14ac:dyDescent="0.25">
      <c r="A113" s="175"/>
      <c r="B113" s="175">
        <v>850</v>
      </c>
      <c r="C113" s="172" t="s">
        <v>1514</v>
      </c>
    </row>
    <row r="114" spans="1:3" x14ac:dyDescent="0.25">
      <c r="A114" s="175"/>
      <c r="B114" s="175">
        <v>851</v>
      </c>
      <c r="C114" s="172" t="s">
        <v>1514</v>
      </c>
    </row>
    <row r="115" spans="1:3" x14ac:dyDescent="0.25">
      <c r="A115" s="175"/>
      <c r="B115" s="175">
        <v>852</v>
      </c>
      <c r="C115" s="172" t="s">
        <v>1514</v>
      </c>
    </row>
    <row r="116" spans="1:3" x14ac:dyDescent="0.25">
      <c r="A116" s="175"/>
      <c r="B116" s="175">
        <v>853</v>
      </c>
      <c r="C116" s="172" t="s">
        <v>1514</v>
      </c>
    </row>
    <row r="117" spans="1:3" x14ac:dyDescent="0.25">
      <c r="A117" s="175"/>
      <c r="B117" s="175">
        <v>854</v>
      </c>
      <c r="C117" s="172" t="s">
        <v>1514</v>
      </c>
    </row>
    <row r="118" spans="1:3" x14ac:dyDescent="0.25">
      <c r="A118" s="175"/>
      <c r="B118" s="175">
        <v>855</v>
      </c>
      <c r="C118" s="172" t="s">
        <v>1514</v>
      </c>
    </row>
    <row r="119" spans="1:3" x14ac:dyDescent="0.25">
      <c r="A119" s="175"/>
      <c r="B119" s="175">
        <v>856</v>
      </c>
      <c r="C119" s="172" t="s">
        <v>1514</v>
      </c>
    </row>
    <row r="120" spans="1:3" x14ac:dyDescent="0.25">
      <c r="A120" s="176" t="s">
        <v>1220</v>
      </c>
      <c r="B120" s="176">
        <v>669</v>
      </c>
      <c r="C120" s="172" t="s">
        <v>1514</v>
      </c>
    </row>
    <row r="121" spans="1:3" x14ac:dyDescent="0.25">
      <c r="A121" s="179" t="s">
        <v>1221</v>
      </c>
      <c r="B121" s="179">
        <v>912</v>
      </c>
      <c r="C121" s="172">
        <v>193669</v>
      </c>
    </row>
    <row r="122" spans="1:3" x14ac:dyDescent="0.25">
      <c r="A122" s="179"/>
      <c r="B122" s="179">
        <v>914</v>
      </c>
      <c r="C122" s="172">
        <v>1161670</v>
      </c>
    </row>
    <row r="123" spans="1:3" x14ac:dyDescent="0.25">
      <c r="A123" s="179"/>
      <c r="B123" s="179">
        <v>921</v>
      </c>
      <c r="C123" s="172">
        <v>28917</v>
      </c>
    </row>
    <row r="124" spans="1:3" x14ac:dyDescent="0.25">
      <c r="A124" s="179"/>
      <c r="B124" s="179">
        <v>926</v>
      </c>
      <c r="C124" s="172">
        <v>195343</v>
      </c>
    </row>
    <row r="125" spans="1:3" x14ac:dyDescent="0.25">
      <c r="A125" s="179"/>
      <c r="B125" s="179">
        <v>932</v>
      </c>
      <c r="C125" s="172">
        <v>27969</v>
      </c>
    </row>
    <row r="126" spans="1:3" x14ac:dyDescent="0.25">
      <c r="A126" s="179"/>
      <c r="B126" s="179">
        <v>935</v>
      </c>
      <c r="C126" s="172">
        <v>1372</v>
      </c>
    </row>
    <row r="127" spans="1:3" x14ac:dyDescent="0.25">
      <c r="A127" s="179"/>
      <c r="B127" s="179">
        <v>937</v>
      </c>
      <c r="C127" s="172">
        <v>223725</v>
      </c>
    </row>
    <row r="128" spans="1:3" x14ac:dyDescent="0.25">
      <c r="A128" s="179"/>
      <c r="B128" s="179">
        <v>941</v>
      </c>
      <c r="C128" s="172">
        <v>184781</v>
      </c>
    </row>
    <row r="129" spans="1:3" x14ac:dyDescent="0.25">
      <c r="A129" s="179"/>
      <c r="B129" s="179">
        <v>945</v>
      </c>
      <c r="C129" s="172">
        <v>55509</v>
      </c>
    </row>
    <row r="130" spans="1:3" x14ac:dyDescent="0.25">
      <c r="A130" s="179"/>
      <c r="B130" s="179">
        <v>947</v>
      </c>
      <c r="C130" s="172">
        <v>31222</v>
      </c>
    </row>
    <row r="131" spans="1:3" x14ac:dyDescent="0.25">
      <c r="A131" s="179"/>
      <c r="B131" s="179">
        <v>951</v>
      </c>
      <c r="C131" s="172">
        <v>41702</v>
      </c>
    </row>
    <row r="132" spans="1:3" x14ac:dyDescent="0.25">
      <c r="A132" s="179"/>
      <c r="B132" s="179">
        <v>953</v>
      </c>
      <c r="C132" s="172">
        <v>16111</v>
      </c>
    </row>
    <row r="133" spans="1:3" x14ac:dyDescent="0.25">
      <c r="A133" s="179"/>
      <c r="B133" s="179">
        <v>956</v>
      </c>
      <c r="C133" s="172">
        <v>7911</v>
      </c>
    </row>
    <row r="134" spans="1:3" x14ac:dyDescent="0.25">
      <c r="A134" s="179"/>
      <c r="B134" s="179">
        <v>958</v>
      </c>
      <c r="C134" s="172">
        <v>653</v>
      </c>
    </row>
    <row r="135" spans="1:3" x14ac:dyDescent="0.25">
      <c r="A135" s="179"/>
      <c r="B135" s="179">
        <v>965</v>
      </c>
      <c r="C135" s="172">
        <v>55535</v>
      </c>
    </row>
    <row r="136" spans="1:3" x14ac:dyDescent="0.25">
      <c r="A136" s="179"/>
      <c r="B136" s="181" t="s">
        <v>1222</v>
      </c>
      <c r="C136" s="172" t="s">
        <v>1514</v>
      </c>
    </row>
    <row r="137" spans="1:3" x14ac:dyDescent="0.25">
      <c r="A137" s="179"/>
      <c r="B137" s="179">
        <v>967</v>
      </c>
      <c r="C137" s="172">
        <v>86866</v>
      </c>
    </row>
    <row r="138" spans="1:3" x14ac:dyDescent="0.25">
      <c r="A138" s="179"/>
      <c r="B138" s="181">
        <v>968</v>
      </c>
      <c r="C138" s="172">
        <v>22465</v>
      </c>
    </row>
    <row r="139" spans="1:3" x14ac:dyDescent="0.25">
      <c r="A139" s="179"/>
      <c r="B139" s="179">
        <v>971</v>
      </c>
      <c r="C139" s="172">
        <v>292404</v>
      </c>
    </row>
    <row r="140" spans="1:3" x14ac:dyDescent="0.25">
      <c r="A140" s="179"/>
      <c r="B140" s="179">
        <v>972</v>
      </c>
      <c r="C140" s="172">
        <v>4071</v>
      </c>
    </row>
    <row r="141" spans="1:3" x14ac:dyDescent="0.25">
      <c r="A141" s="179"/>
      <c r="B141" s="181">
        <v>973</v>
      </c>
      <c r="C141" s="172">
        <v>757</v>
      </c>
    </row>
    <row r="142" spans="1:3" x14ac:dyDescent="0.25">
      <c r="A142" s="179"/>
      <c r="B142" s="179">
        <v>975</v>
      </c>
      <c r="C142" s="172">
        <v>52903</v>
      </c>
    </row>
    <row r="143" spans="1:3" x14ac:dyDescent="0.25">
      <c r="A143" s="174" t="s">
        <v>1223</v>
      </c>
      <c r="B143" s="174">
        <v>901</v>
      </c>
      <c r="C143" s="172" t="s">
        <v>1514</v>
      </c>
    </row>
    <row r="144" spans="1:3" x14ac:dyDescent="0.25">
      <c r="A144" s="174"/>
      <c r="B144" s="174">
        <v>902</v>
      </c>
      <c r="C144" s="172" t="s">
        <v>1514</v>
      </c>
    </row>
    <row r="145" spans="1:3" x14ac:dyDescent="0.25">
      <c r="A145" s="174"/>
      <c r="B145" s="174">
        <v>903</v>
      </c>
      <c r="C145" s="172">
        <v>12</v>
      </c>
    </row>
    <row r="146" spans="1:3" x14ac:dyDescent="0.25">
      <c r="A146" s="174"/>
      <c r="B146" s="174">
        <v>904</v>
      </c>
      <c r="C146" s="172" t="s">
        <v>1514</v>
      </c>
    </row>
    <row r="147" spans="1:3" x14ac:dyDescent="0.25">
      <c r="A147" s="174"/>
      <c r="B147" s="174">
        <v>905</v>
      </c>
      <c r="C147" s="172" t="s">
        <v>1514</v>
      </c>
    </row>
    <row r="148" spans="1:3" x14ac:dyDescent="0.25">
      <c r="A148" s="174"/>
      <c r="B148" s="174">
        <v>906</v>
      </c>
      <c r="C148" s="172" t="s">
        <v>1514</v>
      </c>
    </row>
    <row r="149" spans="1:3" x14ac:dyDescent="0.25">
      <c r="A149" s="174"/>
      <c r="B149" s="174">
        <v>907</v>
      </c>
      <c r="C149" s="172" t="s">
        <v>1514</v>
      </c>
    </row>
    <row r="150" spans="1:3" x14ac:dyDescent="0.25">
      <c r="A150" s="174"/>
      <c r="B150" s="174">
        <v>981</v>
      </c>
      <c r="C150" s="172">
        <v>156</v>
      </c>
    </row>
    <row r="151" spans="1:3" x14ac:dyDescent="0.25">
      <c r="A151" s="174"/>
      <c r="B151" s="174">
        <v>982</v>
      </c>
      <c r="C151" s="172">
        <v>317</v>
      </c>
    </row>
    <row r="152" spans="1:3" x14ac:dyDescent="0.25">
      <c r="A152" s="174"/>
      <c r="B152" s="174">
        <v>983</v>
      </c>
      <c r="C152" s="172">
        <v>449</v>
      </c>
    </row>
    <row r="153" spans="1:3" x14ac:dyDescent="0.25">
      <c r="A153" s="174"/>
      <c r="B153" s="174">
        <v>984</v>
      </c>
      <c r="C153" s="172">
        <v>593</v>
      </c>
    </row>
    <row r="154" spans="1:3" x14ac:dyDescent="0.25">
      <c r="A154" s="174"/>
      <c r="B154" s="174">
        <v>985</v>
      </c>
      <c r="C154" s="172">
        <v>96</v>
      </c>
    </row>
    <row r="155" spans="1:3" x14ac:dyDescent="0.25">
      <c r="A155" s="174"/>
      <c r="B155" s="174">
        <v>986</v>
      </c>
      <c r="C155" s="172">
        <v>60</v>
      </c>
    </row>
    <row r="156" spans="1:3" x14ac:dyDescent="0.25">
      <c r="A156" s="174"/>
      <c r="B156" s="174">
        <v>987</v>
      </c>
      <c r="C156" s="172">
        <v>12</v>
      </c>
    </row>
    <row r="157" spans="1:3" x14ac:dyDescent="0.25">
      <c r="A157" s="174"/>
      <c r="B157" s="174">
        <v>988</v>
      </c>
      <c r="C157" s="172" t="s">
        <v>1514</v>
      </c>
    </row>
    <row r="158" spans="1:3" x14ac:dyDescent="0.25">
      <c r="A158" s="174"/>
      <c r="B158" s="180" t="s">
        <v>1224</v>
      </c>
      <c r="C158" s="172" t="s">
        <v>1514</v>
      </c>
    </row>
    <row r="159" spans="1:3" x14ac:dyDescent="0.25">
      <c r="A159" s="174"/>
      <c r="B159" s="174">
        <v>990</v>
      </c>
      <c r="C159" s="172">
        <v>473</v>
      </c>
    </row>
    <row r="160" spans="1:3" x14ac:dyDescent="0.25">
      <c r="A160" s="174"/>
      <c r="B160" s="174">
        <v>991</v>
      </c>
      <c r="C160" s="172" t="s">
        <v>1514</v>
      </c>
    </row>
    <row r="161" spans="1:3" x14ac:dyDescent="0.25">
      <c r="A161" s="174"/>
      <c r="B161" s="174">
        <v>992</v>
      </c>
      <c r="C161" s="172">
        <v>12</v>
      </c>
    </row>
    <row r="162" spans="1:3" x14ac:dyDescent="0.25">
      <c r="A162" s="174"/>
      <c r="B162" s="174">
        <v>993</v>
      </c>
      <c r="C162" s="172" t="s">
        <v>1514</v>
      </c>
    </row>
    <row r="163" spans="1:3" x14ac:dyDescent="0.25">
      <c r="A163" s="174"/>
      <c r="B163" s="174">
        <v>994</v>
      </c>
      <c r="C163" s="172" t="s">
        <v>1514</v>
      </c>
    </row>
    <row r="164" spans="1:3" x14ac:dyDescent="0.25">
      <c r="B164" t="s">
        <v>1225</v>
      </c>
      <c r="C164" s="172">
        <v>4811303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931DA-7A9D-48CE-BA9A-16EC784612E1}">
  <dimension ref="A1:G176"/>
  <sheetViews>
    <sheetView workbookViewId="0"/>
  </sheetViews>
  <sheetFormatPr defaultRowHeight="15" x14ac:dyDescent="0.25"/>
  <cols>
    <col min="2" max="2" width="14" bestFit="1" customWidth="1"/>
    <col min="3" max="3" width="19.42578125" bestFit="1" customWidth="1"/>
  </cols>
  <sheetData>
    <row r="1" spans="1:7" x14ac:dyDescent="0.25">
      <c r="A1" t="s">
        <v>957</v>
      </c>
      <c r="B1" t="s">
        <v>1226</v>
      </c>
      <c r="C1" t="s">
        <v>1227</v>
      </c>
    </row>
    <row r="2" spans="1:7" x14ac:dyDescent="0.25">
      <c r="A2">
        <v>800</v>
      </c>
      <c r="B2" s="109">
        <v>4.54</v>
      </c>
      <c r="C2" s="109">
        <v>2.48</v>
      </c>
      <c r="F2" s="109"/>
      <c r="G2" s="109"/>
    </row>
    <row r="3" spans="1:7" x14ac:dyDescent="0.25">
      <c r="A3">
        <v>802</v>
      </c>
      <c r="B3" s="109">
        <v>4.6100000000000003</v>
      </c>
      <c r="C3" s="109">
        <v>2.11</v>
      </c>
      <c r="F3" s="109"/>
      <c r="G3" s="109"/>
    </row>
    <row r="4" spans="1:7" x14ac:dyDescent="0.25">
      <c r="A4">
        <v>803</v>
      </c>
      <c r="B4" s="109">
        <v>5.22</v>
      </c>
      <c r="C4" s="109">
        <v>2.33</v>
      </c>
      <c r="F4" s="109"/>
      <c r="G4" s="109"/>
    </row>
    <row r="5" spans="1:7" x14ac:dyDescent="0.25">
      <c r="A5">
        <v>804</v>
      </c>
      <c r="B5" s="109">
        <v>6.01</v>
      </c>
      <c r="C5" s="109">
        <v>2.02</v>
      </c>
      <c r="F5" s="109"/>
      <c r="G5" s="109"/>
    </row>
    <row r="6" spans="1:7" x14ac:dyDescent="0.25">
      <c r="A6">
        <v>805</v>
      </c>
      <c r="B6" s="109">
        <v>7.01</v>
      </c>
      <c r="C6" s="109">
        <v>2.6</v>
      </c>
      <c r="F6" s="109"/>
      <c r="G6" s="109"/>
    </row>
    <row r="7" spans="1:7" x14ac:dyDescent="0.25">
      <c r="A7">
        <v>806</v>
      </c>
      <c r="B7" s="109">
        <v>7.32</v>
      </c>
      <c r="C7" s="109">
        <v>2.99</v>
      </c>
      <c r="F7" s="109"/>
      <c r="G7" s="109"/>
    </row>
    <row r="8" spans="1:7" x14ac:dyDescent="0.25">
      <c r="A8">
        <v>468</v>
      </c>
      <c r="B8" s="109">
        <v>7.72</v>
      </c>
      <c r="C8" s="109">
        <v>2.6</v>
      </c>
      <c r="F8" s="109"/>
      <c r="G8" s="109"/>
    </row>
    <row r="9" spans="1:7" x14ac:dyDescent="0.25">
      <c r="A9">
        <v>478</v>
      </c>
      <c r="B9" s="109">
        <v>8.2200000000000006</v>
      </c>
      <c r="C9" s="109">
        <v>3</v>
      </c>
      <c r="F9" s="109"/>
      <c r="G9" s="109"/>
    </row>
    <row r="10" spans="1:7" x14ac:dyDescent="0.25">
      <c r="A10">
        <v>809</v>
      </c>
      <c r="B10" s="109">
        <v>9.35</v>
      </c>
      <c r="C10" s="109">
        <v>3.02</v>
      </c>
      <c r="F10" s="109"/>
      <c r="G10" s="109"/>
    </row>
    <row r="11" spans="1:7" x14ac:dyDescent="0.25">
      <c r="A11">
        <v>509</v>
      </c>
      <c r="B11" s="109">
        <v>4.43</v>
      </c>
      <c r="C11" s="109">
        <v>2.48</v>
      </c>
      <c r="F11" s="109"/>
      <c r="G11" s="109"/>
    </row>
    <row r="12" spans="1:7" x14ac:dyDescent="0.25">
      <c r="A12">
        <v>570</v>
      </c>
      <c r="B12" s="109">
        <v>17.05</v>
      </c>
      <c r="C12" s="109">
        <v>1.89</v>
      </c>
      <c r="F12" s="109"/>
      <c r="G12" s="109"/>
    </row>
    <row r="13" spans="1:7" x14ac:dyDescent="0.25">
      <c r="A13">
        <v>810</v>
      </c>
      <c r="B13" s="109">
        <v>6.78</v>
      </c>
      <c r="C13" s="109">
        <v>2.11</v>
      </c>
      <c r="F13" s="109"/>
      <c r="G13" s="109"/>
    </row>
    <row r="14" spans="1:7" x14ac:dyDescent="0.25">
      <c r="A14">
        <v>572</v>
      </c>
      <c r="B14" s="109">
        <v>13.08</v>
      </c>
      <c r="C14" s="109">
        <v>1.89</v>
      </c>
      <c r="F14" s="109"/>
      <c r="G14" s="109"/>
    </row>
    <row r="15" spans="1:7" x14ac:dyDescent="0.25">
      <c r="A15">
        <v>573</v>
      </c>
      <c r="B15" s="109">
        <v>12.99</v>
      </c>
      <c r="C15" s="109">
        <v>1.89</v>
      </c>
      <c r="F15" s="109"/>
      <c r="G15" s="109"/>
    </row>
    <row r="16" spans="1:7" x14ac:dyDescent="0.25">
      <c r="A16">
        <v>550</v>
      </c>
      <c r="B16" s="109">
        <v>11.53</v>
      </c>
      <c r="C16" s="109">
        <v>1.89</v>
      </c>
      <c r="F16" s="109"/>
      <c r="G16" s="109"/>
    </row>
    <row r="17" spans="1:7" x14ac:dyDescent="0.25">
      <c r="A17">
        <v>566</v>
      </c>
      <c r="B17" s="109">
        <v>12.5</v>
      </c>
      <c r="C17" s="109">
        <v>3.18</v>
      </c>
      <c r="F17" s="109"/>
      <c r="G17" s="109"/>
    </row>
    <row r="18" spans="1:7" x14ac:dyDescent="0.25">
      <c r="A18">
        <v>552</v>
      </c>
      <c r="B18" s="109">
        <v>10.6</v>
      </c>
      <c r="C18" s="109">
        <v>2.44</v>
      </c>
      <c r="F18" s="109"/>
      <c r="G18" s="109"/>
    </row>
    <row r="19" spans="1:7" x14ac:dyDescent="0.25">
      <c r="A19">
        <v>704</v>
      </c>
      <c r="B19" s="109">
        <v>10.83</v>
      </c>
      <c r="C19" s="109">
        <v>4.99</v>
      </c>
      <c r="F19" s="109"/>
      <c r="G19" s="109"/>
    </row>
    <row r="20" spans="1:7" x14ac:dyDescent="0.25">
      <c r="A20">
        <v>520</v>
      </c>
      <c r="B20" s="109">
        <v>8.67</v>
      </c>
      <c r="C20" s="109">
        <v>4.01</v>
      </c>
      <c r="F20" s="109"/>
      <c r="G20" s="109"/>
    </row>
    <row r="21" spans="1:7" x14ac:dyDescent="0.25">
      <c r="A21">
        <v>705</v>
      </c>
      <c r="B21" s="109">
        <v>12.3</v>
      </c>
      <c r="C21" s="109">
        <v>5.04</v>
      </c>
      <c r="F21" s="109"/>
      <c r="G21" s="109"/>
    </row>
    <row r="22" spans="1:7" x14ac:dyDescent="0.25">
      <c r="A22">
        <v>556</v>
      </c>
      <c r="B22" s="109">
        <v>12.04</v>
      </c>
      <c r="C22" s="109">
        <v>4.0199999999999996</v>
      </c>
      <c r="F22" s="109"/>
      <c r="G22" s="109"/>
    </row>
    <row r="23" spans="1:7" x14ac:dyDescent="0.25">
      <c r="A23">
        <v>558</v>
      </c>
      <c r="B23" s="109">
        <v>15.11</v>
      </c>
      <c r="C23" s="109">
        <v>8.17</v>
      </c>
      <c r="F23" s="109"/>
      <c r="G23" s="109"/>
    </row>
    <row r="24" spans="1:7" x14ac:dyDescent="0.25">
      <c r="A24">
        <v>701</v>
      </c>
      <c r="B24" s="109">
        <v>15.25</v>
      </c>
      <c r="C24" s="109">
        <v>3.92</v>
      </c>
      <c r="F24" s="109"/>
      <c r="G24" s="109"/>
    </row>
    <row r="25" spans="1:7" x14ac:dyDescent="0.25">
      <c r="A25">
        <v>574</v>
      </c>
      <c r="B25" s="109">
        <v>15.68</v>
      </c>
      <c r="C25" s="109">
        <v>3.73</v>
      </c>
      <c r="F25" s="109"/>
      <c r="G25" s="109"/>
    </row>
    <row r="26" spans="1:7" x14ac:dyDescent="0.25">
      <c r="A26">
        <v>700</v>
      </c>
      <c r="B26" s="109">
        <v>13.42</v>
      </c>
      <c r="C26" s="109">
        <v>3.92</v>
      </c>
      <c r="F26" s="109"/>
      <c r="G26" s="109"/>
    </row>
    <row r="27" spans="1:7" x14ac:dyDescent="0.25">
      <c r="A27">
        <v>575</v>
      </c>
      <c r="B27" s="109">
        <v>13.49</v>
      </c>
      <c r="C27" s="109">
        <v>3.74</v>
      </c>
      <c r="F27" s="109"/>
      <c r="G27" s="109"/>
    </row>
    <row r="28" spans="1:7" x14ac:dyDescent="0.25">
      <c r="A28">
        <v>702</v>
      </c>
      <c r="B28" s="109">
        <v>10.38</v>
      </c>
      <c r="C28" s="109">
        <v>3.92</v>
      </c>
      <c r="F28" s="109"/>
      <c r="G28" s="109"/>
    </row>
    <row r="29" spans="1:7" x14ac:dyDescent="0.25">
      <c r="A29">
        <v>564</v>
      </c>
      <c r="B29" s="109">
        <v>11.44</v>
      </c>
      <c r="C29" s="109">
        <v>3.7</v>
      </c>
      <c r="F29" s="109"/>
      <c r="G29" s="109"/>
    </row>
    <row r="30" spans="1:7" x14ac:dyDescent="0.25">
      <c r="A30">
        <v>703</v>
      </c>
      <c r="B30" s="109">
        <v>13.74</v>
      </c>
      <c r="C30" s="109">
        <v>4.93</v>
      </c>
      <c r="F30" s="109"/>
      <c r="G30" s="109"/>
    </row>
    <row r="31" spans="1:7" x14ac:dyDescent="0.25">
      <c r="A31">
        <v>554</v>
      </c>
      <c r="B31" s="109">
        <v>14.41</v>
      </c>
      <c r="C31" s="109">
        <v>3.97</v>
      </c>
      <c r="F31" s="109"/>
      <c r="G31" s="109"/>
    </row>
    <row r="32" spans="1:7" x14ac:dyDescent="0.25">
      <c r="A32">
        <v>576</v>
      </c>
      <c r="B32" s="109">
        <v>23.74</v>
      </c>
      <c r="C32" s="109">
        <v>8.17</v>
      </c>
      <c r="F32" s="109"/>
      <c r="G32" s="109"/>
    </row>
    <row r="33" spans="1:7" x14ac:dyDescent="0.25">
      <c r="A33">
        <v>860</v>
      </c>
      <c r="B33" s="109">
        <v>4.54</v>
      </c>
      <c r="C33" s="109">
        <v>2.48</v>
      </c>
      <c r="F33" s="109"/>
      <c r="G33" s="109"/>
    </row>
    <row r="34" spans="1:7" x14ac:dyDescent="0.25">
      <c r="A34">
        <v>862</v>
      </c>
      <c r="B34" s="109">
        <v>4.6100000000000003</v>
      </c>
      <c r="C34" s="109">
        <v>2.11</v>
      </c>
      <c r="F34" s="109"/>
      <c r="G34" s="109"/>
    </row>
    <row r="35" spans="1:7" x14ac:dyDescent="0.25">
      <c r="A35">
        <v>863</v>
      </c>
      <c r="B35" s="109">
        <v>5.22</v>
      </c>
      <c r="C35" s="109">
        <v>2.33</v>
      </c>
      <c r="F35" s="109"/>
      <c r="G35" s="109"/>
    </row>
    <row r="36" spans="1:7" x14ac:dyDescent="0.25">
      <c r="A36">
        <v>864</v>
      </c>
      <c r="B36" s="109">
        <v>6.01</v>
      </c>
      <c r="C36" s="109">
        <v>2.02</v>
      </c>
      <c r="F36" s="109"/>
      <c r="G36" s="109"/>
    </row>
    <row r="37" spans="1:7" x14ac:dyDescent="0.25">
      <c r="A37">
        <v>865</v>
      </c>
      <c r="B37" s="109">
        <v>7.01</v>
      </c>
      <c r="C37" s="109">
        <v>2.6</v>
      </c>
      <c r="F37" s="109"/>
      <c r="G37" s="109"/>
    </row>
    <row r="38" spans="1:7" x14ac:dyDescent="0.25">
      <c r="A38">
        <v>866</v>
      </c>
      <c r="B38" s="109">
        <v>7.32</v>
      </c>
      <c r="C38" s="109">
        <v>2.99</v>
      </c>
      <c r="F38" s="109"/>
      <c r="G38" s="109"/>
    </row>
    <row r="39" spans="1:7" x14ac:dyDescent="0.25">
      <c r="A39">
        <v>454</v>
      </c>
      <c r="B39" s="109">
        <v>7.72</v>
      </c>
      <c r="C39" s="109">
        <v>2.6</v>
      </c>
      <c r="F39" s="109"/>
      <c r="G39" s="109"/>
    </row>
    <row r="40" spans="1:7" x14ac:dyDescent="0.25">
      <c r="A40">
        <v>484</v>
      </c>
      <c r="B40" s="109">
        <v>8.2200000000000006</v>
      </c>
      <c r="C40" s="109">
        <v>3</v>
      </c>
      <c r="F40" s="109"/>
      <c r="G40" s="109"/>
    </row>
    <row r="41" spans="1:7" x14ac:dyDescent="0.25">
      <c r="A41">
        <v>869</v>
      </c>
      <c r="B41" s="109">
        <v>9.35</v>
      </c>
      <c r="C41" s="109">
        <v>3.02</v>
      </c>
      <c r="F41" s="109"/>
      <c r="G41" s="109"/>
    </row>
    <row r="42" spans="1:7" x14ac:dyDescent="0.25">
      <c r="A42">
        <v>508</v>
      </c>
      <c r="B42" s="109">
        <v>4.43</v>
      </c>
      <c r="C42" s="109">
        <v>2.48</v>
      </c>
      <c r="F42" s="109"/>
      <c r="G42" s="109"/>
    </row>
    <row r="43" spans="1:7" x14ac:dyDescent="0.25">
      <c r="A43">
        <v>530</v>
      </c>
      <c r="B43" s="109">
        <v>17.05</v>
      </c>
      <c r="C43" s="109">
        <v>1.89</v>
      </c>
      <c r="F43" s="109"/>
      <c r="G43" s="109"/>
    </row>
    <row r="44" spans="1:7" x14ac:dyDescent="0.25">
      <c r="A44">
        <v>870</v>
      </c>
      <c r="B44" s="109">
        <v>6.78</v>
      </c>
      <c r="C44" s="109">
        <v>2.11</v>
      </c>
      <c r="F44" s="109"/>
      <c r="G44" s="109"/>
    </row>
    <row r="45" spans="1:7" x14ac:dyDescent="0.25">
      <c r="A45">
        <v>532</v>
      </c>
      <c r="B45" s="109">
        <v>13.08</v>
      </c>
      <c r="C45" s="109">
        <v>1.89</v>
      </c>
      <c r="F45" s="109"/>
      <c r="G45" s="109"/>
    </row>
    <row r="46" spans="1:7" x14ac:dyDescent="0.25">
      <c r="A46">
        <v>533</v>
      </c>
      <c r="B46" s="109">
        <v>12.99</v>
      </c>
      <c r="C46" s="109">
        <v>1.89</v>
      </c>
      <c r="F46" s="109"/>
      <c r="G46" s="109"/>
    </row>
    <row r="47" spans="1:7" x14ac:dyDescent="0.25">
      <c r="A47">
        <v>534</v>
      </c>
      <c r="B47" s="109">
        <v>11.53</v>
      </c>
      <c r="C47" s="109">
        <v>1.89</v>
      </c>
      <c r="F47" s="109"/>
      <c r="G47" s="109"/>
    </row>
    <row r="48" spans="1:7" x14ac:dyDescent="0.25">
      <c r="A48">
        <v>536</v>
      </c>
      <c r="B48" s="109">
        <v>12.5</v>
      </c>
      <c r="C48" s="109">
        <v>3.18</v>
      </c>
      <c r="F48" s="109"/>
      <c r="G48" s="109"/>
    </row>
    <row r="49" spans="1:7" x14ac:dyDescent="0.25">
      <c r="A49">
        <v>538</v>
      </c>
      <c r="B49" s="109">
        <v>10.6</v>
      </c>
      <c r="C49" s="109">
        <v>2.44</v>
      </c>
      <c r="F49" s="109"/>
      <c r="G49" s="109"/>
    </row>
    <row r="50" spans="1:7" x14ac:dyDescent="0.25">
      <c r="A50">
        <v>724</v>
      </c>
      <c r="B50" s="109">
        <v>10.83</v>
      </c>
      <c r="C50" s="109">
        <v>4.99</v>
      </c>
      <c r="F50" s="109"/>
      <c r="G50" s="109"/>
    </row>
    <row r="51" spans="1:7" x14ac:dyDescent="0.25">
      <c r="A51">
        <v>522</v>
      </c>
      <c r="B51" s="109">
        <v>8.67</v>
      </c>
      <c r="C51" s="109">
        <v>4.01</v>
      </c>
      <c r="F51" s="109"/>
      <c r="G51" s="109"/>
    </row>
    <row r="52" spans="1:7" x14ac:dyDescent="0.25">
      <c r="A52">
        <v>725</v>
      </c>
      <c r="B52" s="109">
        <v>12.3</v>
      </c>
      <c r="C52" s="109">
        <v>5.04</v>
      </c>
      <c r="F52" s="109"/>
      <c r="G52" s="109"/>
    </row>
    <row r="53" spans="1:7" x14ac:dyDescent="0.25">
      <c r="A53">
        <v>541</v>
      </c>
      <c r="B53" s="109">
        <v>12.04</v>
      </c>
      <c r="C53" s="109">
        <v>4.0199999999999996</v>
      </c>
      <c r="F53" s="109"/>
      <c r="G53" s="109"/>
    </row>
    <row r="54" spans="1:7" x14ac:dyDescent="0.25">
      <c r="A54">
        <v>578</v>
      </c>
      <c r="B54" s="109">
        <v>15.11</v>
      </c>
      <c r="C54" s="109">
        <v>8.17</v>
      </c>
      <c r="F54" s="109"/>
      <c r="G54" s="109"/>
    </row>
    <row r="55" spans="1:7" x14ac:dyDescent="0.25">
      <c r="A55">
        <v>721</v>
      </c>
      <c r="B55" s="109">
        <v>15.25</v>
      </c>
      <c r="C55" s="109">
        <v>3.92</v>
      </c>
      <c r="F55" s="109"/>
      <c r="G55" s="109"/>
    </row>
    <row r="56" spans="1:7" x14ac:dyDescent="0.25">
      <c r="A56">
        <v>548</v>
      </c>
      <c r="B56" s="109">
        <v>15.68</v>
      </c>
      <c r="C56" s="109">
        <v>3.73</v>
      </c>
      <c r="F56" s="109"/>
      <c r="G56" s="109"/>
    </row>
    <row r="57" spans="1:7" x14ac:dyDescent="0.25">
      <c r="A57">
        <v>720</v>
      </c>
      <c r="B57" s="109">
        <v>13.42</v>
      </c>
      <c r="C57" s="109">
        <v>3.92</v>
      </c>
      <c r="F57" s="109"/>
      <c r="G57" s="109"/>
    </row>
    <row r="58" spans="1:7" x14ac:dyDescent="0.25">
      <c r="A58">
        <v>568</v>
      </c>
      <c r="B58" s="109">
        <v>13.49</v>
      </c>
      <c r="C58" s="109">
        <v>3.74</v>
      </c>
      <c r="F58" s="109"/>
      <c r="G58" s="109"/>
    </row>
    <row r="59" spans="1:7" x14ac:dyDescent="0.25">
      <c r="A59">
        <v>722</v>
      </c>
      <c r="B59" s="109">
        <v>10.38</v>
      </c>
      <c r="C59" s="109">
        <v>3.92</v>
      </c>
      <c r="F59" s="109"/>
      <c r="G59" s="109"/>
    </row>
    <row r="60" spans="1:7" x14ac:dyDescent="0.25">
      <c r="A60">
        <v>549</v>
      </c>
      <c r="B60" s="109">
        <v>11.44</v>
      </c>
      <c r="C60" s="109">
        <v>3.7</v>
      </c>
      <c r="F60" s="109"/>
      <c r="G60" s="109"/>
    </row>
    <row r="61" spans="1:7" x14ac:dyDescent="0.25">
      <c r="A61">
        <v>723</v>
      </c>
      <c r="B61" s="109">
        <v>13.74</v>
      </c>
      <c r="C61" s="109">
        <v>4.93</v>
      </c>
      <c r="F61" s="109"/>
      <c r="G61" s="109"/>
    </row>
    <row r="62" spans="1:7" x14ac:dyDescent="0.25">
      <c r="A62">
        <v>540</v>
      </c>
      <c r="B62" s="109">
        <v>14.41</v>
      </c>
      <c r="C62" s="109">
        <v>3.97</v>
      </c>
      <c r="F62" s="109"/>
      <c r="G62" s="109"/>
    </row>
    <row r="63" spans="1:7" x14ac:dyDescent="0.25">
      <c r="A63">
        <v>577</v>
      </c>
      <c r="B63" s="109">
        <v>23.74</v>
      </c>
      <c r="C63" s="109">
        <v>8.17</v>
      </c>
      <c r="F63" s="109"/>
      <c r="G63" s="109"/>
    </row>
    <row r="64" spans="1:7" x14ac:dyDescent="0.25">
      <c r="A64">
        <v>828</v>
      </c>
      <c r="B64" s="109">
        <v>11.03</v>
      </c>
      <c r="C64" s="109">
        <v>1.74</v>
      </c>
      <c r="F64" s="109"/>
      <c r="G64" s="109"/>
    </row>
    <row r="65" spans="1:7" x14ac:dyDescent="0.25">
      <c r="A65">
        <v>820</v>
      </c>
      <c r="B65" s="109">
        <v>16.59</v>
      </c>
      <c r="C65" s="109">
        <v>1.19</v>
      </c>
      <c r="F65" s="109"/>
      <c r="G65" s="109"/>
    </row>
    <row r="66" spans="1:7" x14ac:dyDescent="0.25">
      <c r="A66">
        <v>821</v>
      </c>
      <c r="B66" s="109">
        <v>16.59</v>
      </c>
      <c r="C66" s="109">
        <v>1.2</v>
      </c>
      <c r="F66" s="109"/>
      <c r="G66" s="109"/>
    </row>
    <row r="67" spans="1:7" x14ac:dyDescent="0.25">
      <c r="A67">
        <v>829</v>
      </c>
      <c r="B67" s="109">
        <v>16.53</v>
      </c>
      <c r="C67" s="109">
        <v>2.2599999999999998</v>
      </c>
      <c r="F67" s="109"/>
      <c r="G67" s="109"/>
    </row>
    <row r="68" spans="1:7" x14ac:dyDescent="0.25">
      <c r="A68">
        <v>822</v>
      </c>
      <c r="B68" s="109">
        <v>20.97</v>
      </c>
      <c r="C68" s="109">
        <v>1.26</v>
      </c>
      <c r="F68" s="109"/>
      <c r="G68" s="109"/>
    </row>
    <row r="69" spans="1:7" x14ac:dyDescent="0.25">
      <c r="A69">
        <v>823</v>
      </c>
      <c r="B69" s="109">
        <v>24.17</v>
      </c>
      <c r="C69" s="109">
        <v>1.38</v>
      </c>
      <c r="F69" s="109"/>
      <c r="G69" s="109"/>
    </row>
    <row r="70" spans="1:7" x14ac:dyDescent="0.25">
      <c r="A70">
        <v>835</v>
      </c>
      <c r="B70" s="109">
        <v>23.77</v>
      </c>
      <c r="C70" s="109">
        <v>2.2799999999999998</v>
      </c>
      <c r="F70" s="109"/>
      <c r="G70" s="109"/>
    </row>
    <row r="71" spans="1:7" x14ac:dyDescent="0.25">
      <c r="A71">
        <v>824</v>
      </c>
      <c r="B71" s="109">
        <v>28.02</v>
      </c>
      <c r="C71" s="109">
        <v>1.54</v>
      </c>
      <c r="F71" s="109"/>
      <c r="G71" s="109"/>
    </row>
    <row r="72" spans="1:7" x14ac:dyDescent="0.25">
      <c r="A72">
        <v>825</v>
      </c>
      <c r="B72" s="109">
        <v>29.51</v>
      </c>
      <c r="C72" s="109">
        <v>1.56</v>
      </c>
      <c r="F72" s="109"/>
      <c r="G72" s="109"/>
    </row>
    <row r="73" spans="1:7" x14ac:dyDescent="0.25">
      <c r="A73">
        <v>836</v>
      </c>
      <c r="B73" s="109">
        <v>24.02</v>
      </c>
      <c r="C73" s="109">
        <v>2.2799999999999998</v>
      </c>
      <c r="F73" s="109"/>
      <c r="G73" s="109"/>
    </row>
    <row r="74" spans="1:7" x14ac:dyDescent="0.25">
      <c r="A74">
        <v>830</v>
      </c>
      <c r="B74" s="109">
        <v>21.37</v>
      </c>
      <c r="C74" s="109">
        <v>2.5099999999999998</v>
      </c>
      <c r="F74" s="109"/>
      <c r="G74" s="109"/>
    </row>
    <row r="75" spans="1:7" x14ac:dyDescent="0.25">
      <c r="A75">
        <v>826</v>
      </c>
      <c r="B75" s="109">
        <v>27.49</v>
      </c>
      <c r="C75" s="109">
        <v>1.41</v>
      </c>
      <c r="F75" s="109"/>
      <c r="G75" s="109"/>
    </row>
    <row r="76" spans="1:7" x14ac:dyDescent="0.25">
      <c r="A76">
        <v>827</v>
      </c>
      <c r="B76" s="109">
        <v>29.65</v>
      </c>
      <c r="C76" s="109">
        <v>1.55</v>
      </c>
      <c r="F76" s="109"/>
      <c r="G76" s="109"/>
    </row>
    <row r="77" spans="1:7" x14ac:dyDescent="0.25">
      <c r="A77">
        <v>831</v>
      </c>
      <c r="B77" s="109">
        <v>22.88</v>
      </c>
      <c r="C77" s="109">
        <v>3.45</v>
      </c>
      <c r="F77" s="109"/>
      <c r="G77" s="109"/>
    </row>
    <row r="78" spans="1:7" x14ac:dyDescent="0.25">
      <c r="A78">
        <v>832</v>
      </c>
      <c r="B78" s="109">
        <v>27.56</v>
      </c>
      <c r="C78" s="109">
        <v>4.0999999999999996</v>
      </c>
      <c r="F78" s="109"/>
      <c r="G78" s="109"/>
    </row>
    <row r="79" spans="1:7" x14ac:dyDescent="0.25">
      <c r="A79">
        <v>833</v>
      </c>
      <c r="B79" s="109">
        <v>21.16</v>
      </c>
      <c r="C79" s="109">
        <v>3.04</v>
      </c>
      <c r="F79" s="109"/>
      <c r="G79" s="109"/>
    </row>
    <row r="80" spans="1:7" x14ac:dyDescent="0.25">
      <c r="A80">
        <v>834</v>
      </c>
      <c r="B80" s="109">
        <v>23.47</v>
      </c>
      <c r="C80" s="109">
        <v>3.6</v>
      </c>
      <c r="F80" s="109"/>
      <c r="G80" s="109"/>
    </row>
    <row r="81" spans="1:7" x14ac:dyDescent="0.25">
      <c r="A81">
        <v>848</v>
      </c>
      <c r="B81" s="109">
        <v>11.03</v>
      </c>
      <c r="C81" s="109">
        <v>1.74</v>
      </c>
      <c r="F81" s="109"/>
      <c r="G81" s="109"/>
    </row>
    <row r="82" spans="1:7" x14ac:dyDescent="0.25">
      <c r="A82">
        <v>840</v>
      </c>
      <c r="B82" s="109">
        <v>16.59</v>
      </c>
      <c r="C82" s="109">
        <v>1.19</v>
      </c>
      <c r="F82" s="109"/>
      <c r="G82" s="109"/>
    </row>
    <row r="83" spans="1:7" x14ac:dyDescent="0.25">
      <c r="A83">
        <v>841</v>
      </c>
      <c r="B83" s="109">
        <v>16.59</v>
      </c>
      <c r="C83" s="109">
        <v>1.2</v>
      </c>
      <c r="F83" s="109"/>
      <c r="G83" s="109"/>
    </row>
    <row r="84" spans="1:7" x14ac:dyDescent="0.25">
      <c r="A84">
        <v>849</v>
      </c>
      <c r="B84" s="109">
        <v>16.53</v>
      </c>
      <c r="C84" s="109">
        <v>2.2599999999999998</v>
      </c>
      <c r="F84" s="109"/>
      <c r="G84" s="109"/>
    </row>
    <row r="85" spans="1:7" x14ac:dyDescent="0.25">
      <c r="A85">
        <v>842</v>
      </c>
      <c r="B85" s="109">
        <v>20.97</v>
      </c>
      <c r="C85" s="109">
        <v>1.26</v>
      </c>
      <c r="F85" s="109"/>
      <c r="G85" s="109"/>
    </row>
    <row r="86" spans="1:7" x14ac:dyDescent="0.25">
      <c r="A86">
        <v>843</v>
      </c>
      <c r="B86" s="109">
        <v>24.17</v>
      </c>
      <c r="C86" s="109">
        <v>1.38</v>
      </c>
      <c r="F86" s="109"/>
      <c r="G86" s="109"/>
    </row>
    <row r="87" spans="1:7" x14ac:dyDescent="0.25">
      <c r="A87">
        <v>855</v>
      </c>
      <c r="B87" s="109">
        <v>23.77</v>
      </c>
      <c r="C87" s="109">
        <v>2.2799999999999998</v>
      </c>
      <c r="F87" s="109"/>
      <c r="G87" s="109"/>
    </row>
    <row r="88" spans="1:7" x14ac:dyDescent="0.25">
      <c r="A88">
        <v>844</v>
      </c>
      <c r="B88" s="109">
        <v>28.02</v>
      </c>
      <c r="C88" s="109">
        <v>1.54</v>
      </c>
      <c r="F88" s="109"/>
      <c r="G88" s="109"/>
    </row>
    <row r="89" spans="1:7" x14ac:dyDescent="0.25">
      <c r="A89">
        <v>845</v>
      </c>
      <c r="B89" s="109">
        <v>29.51</v>
      </c>
      <c r="C89" s="109">
        <v>1.56</v>
      </c>
      <c r="F89" s="109"/>
      <c r="G89" s="109"/>
    </row>
    <row r="90" spans="1:7" x14ac:dyDescent="0.25">
      <c r="A90">
        <v>856</v>
      </c>
      <c r="B90" s="109">
        <v>24.02</v>
      </c>
      <c r="C90" s="109">
        <v>2.2799999999999998</v>
      </c>
      <c r="F90" s="109"/>
      <c r="G90" s="109"/>
    </row>
    <row r="91" spans="1:7" x14ac:dyDescent="0.25">
      <c r="A91">
        <v>850</v>
      </c>
      <c r="B91" s="109">
        <v>21.37</v>
      </c>
      <c r="C91" s="109">
        <v>2.5099999999999998</v>
      </c>
      <c r="F91" s="109"/>
      <c r="G91" s="109"/>
    </row>
    <row r="92" spans="1:7" x14ac:dyDescent="0.25">
      <c r="A92">
        <v>846</v>
      </c>
      <c r="B92" s="109">
        <v>27.49</v>
      </c>
      <c r="C92" s="109">
        <v>1.41</v>
      </c>
      <c r="F92" s="109"/>
      <c r="G92" s="109"/>
    </row>
    <row r="93" spans="1:7" x14ac:dyDescent="0.25">
      <c r="A93">
        <v>847</v>
      </c>
      <c r="B93" s="109">
        <v>29.65</v>
      </c>
      <c r="C93" s="109">
        <v>1.55</v>
      </c>
      <c r="F93" s="109"/>
      <c r="G93" s="109"/>
    </row>
    <row r="94" spans="1:7" x14ac:dyDescent="0.25">
      <c r="A94">
        <v>851</v>
      </c>
      <c r="B94" s="109">
        <v>22.88</v>
      </c>
      <c r="C94" s="109">
        <v>3.45</v>
      </c>
      <c r="F94" s="109"/>
      <c r="G94" s="109"/>
    </row>
    <row r="95" spans="1:7" x14ac:dyDescent="0.25">
      <c r="A95">
        <v>852</v>
      </c>
      <c r="B95" s="109">
        <v>27.56</v>
      </c>
      <c r="C95" s="109">
        <v>4.0999999999999996</v>
      </c>
      <c r="F95" s="109"/>
      <c r="G95" s="109"/>
    </row>
    <row r="96" spans="1:7" x14ac:dyDescent="0.25">
      <c r="A96">
        <v>853</v>
      </c>
      <c r="B96" s="109">
        <v>21.16</v>
      </c>
      <c r="C96" s="109">
        <v>3.04</v>
      </c>
      <c r="F96" s="109"/>
      <c r="G96" s="109"/>
    </row>
    <row r="97" spans="1:7" x14ac:dyDescent="0.25">
      <c r="A97">
        <v>854</v>
      </c>
      <c r="B97" s="109">
        <v>23.47</v>
      </c>
      <c r="C97" s="109">
        <v>3.6</v>
      </c>
      <c r="F97" s="109"/>
      <c r="G97" s="109"/>
    </row>
    <row r="98" spans="1:7" x14ac:dyDescent="0.25">
      <c r="A98">
        <v>912</v>
      </c>
      <c r="B98" s="109">
        <v>7.72</v>
      </c>
      <c r="C98" s="109">
        <v>1.74</v>
      </c>
      <c r="F98" s="109"/>
      <c r="G98" s="109"/>
    </row>
    <row r="99" spans="1:7" x14ac:dyDescent="0.25">
      <c r="A99">
        <v>914</v>
      </c>
      <c r="B99" s="109">
        <v>7.64</v>
      </c>
      <c r="C99" s="109">
        <v>1.74</v>
      </c>
      <c r="F99" s="109"/>
      <c r="G99" s="109"/>
    </row>
    <row r="100" spans="1:7" x14ac:dyDescent="0.25">
      <c r="A100">
        <v>921</v>
      </c>
      <c r="B100" s="109">
        <v>11.82</v>
      </c>
      <c r="C100" s="109">
        <v>1.74</v>
      </c>
      <c r="F100" s="109"/>
      <c r="G100" s="109"/>
    </row>
    <row r="101" spans="1:7" x14ac:dyDescent="0.25">
      <c r="A101">
        <v>926</v>
      </c>
      <c r="B101" s="109">
        <v>10.85</v>
      </c>
      <c r="C101" s="109">
        <v>1.19</v>
      </c>
      <c r="F101" s="109"/>
      <c r="G101" s="109"/>
    </row>
    <row r="102" spans="1:7" x14ac:dyDescent="0.25">
      <c r="A102">
        <v>932</v>
      </c>
      <c r="B102" s="109">
        <v>20.41</v>
      </c>
      <c r="C102" s="109">
        <v>1.38</v>
      </c>
      <c r="F102" s="109"/>
      <c r="G102" s="109"/>
    </row>
    <row r="103" spans="1:7" x14ac:dyDescent="0.25">
      <c r="A103">
        <v>935</v>
      </c>
      <c r="B103" s="109">
        <v>15.21</v>
      </c>
      <c r="C103" s="109">
        <v>1.41</v>
      </c>
      <c r="F103" s="109"/>
      <c r="G103" s="109"/>
    </row>
    <row r="104" spans="1:7" x14ac:dyDescent="0.25">
      <c r="A104">
        <v>937</v>
      </c>
      <c r="B104" s="109">
        <v>11.57</v>
      </c>
      <c r="C104" s="109">
        <v>2.2599999999999998</v>
      </c>
      <c r="F104" s="109"/>
      <c r="G104" s="109"/>
    </row>
    <row r="105" spans="1:7" x14ac:dyDescent="0.25">
      <c r="A105">
        <v>941</v>
      </c>
      <c r="B105" s="109">
        <v>14.74</v>
      </c>
      <c r="C105" s="109">
        <v>2.5099999999999998</v>
      </c>
      <c r="F105" s="109"/>
      <c r="G105" s="109"/>
    </row>
    <row r="106" spans="1:7" x14ac:dyDescent="0.25">
      <c r="A106">
        <v>945</v>
      </c>
      <c r="B106" s="109">
        <v>21.2</v>
      </c>
      <c r="C106" s="109">
        <v>2.5099999999999998</v>
      </c>
      <c r="F106" s="109"/>
      <c r="G106" s="109"/>
    </row>
    <row r="107" spans="1:7" x14ac:dyDescent="0.25">
      <c r="A107">
        <v>947</v>
      </c>
      <c r="B107" s="109">
        <v>26.6</v>
      </c>
      <c r="C107" s="109">
        <v>1.55</v>
      </c>
      <c r="F107" s="109"/>
      <c r="G107" s="109"/>
    </row>
    <row r="108" spans="1:7" x14ac:dyDescent="0.25">
      <c r="A108">
        <v>951</v>
      </c>
      <c r="B108" s="109">
        <v>16.510000000000002</v>
      </c>
      <c r="C108" s="109">
        <v>3.45</v>
      </c>
      <c r="F108" s="109"/>
      <c r="G108" s="109"/>
    </row>
    <row r="109" spans="1:7" x14ac:dyDescent="0.25">
      <c r="A109">
        <v>953</v>
      </c>
      <c r="B109" s="109">
        <v>27.78</v>
      </c>
      <c r="C109" s="109">
        <v>4.0999999999999996</v>
      </c>
      <c r="F109" s="109"/>
      <c r="G109" s="109"/>
    </row>
    <row r="110" spans="1:7" x14ac:dyDescent="0.25">
      <c r="A110">
        <v>956</v>
      </c>
      <c r="B110" s="109">
        <v>17.77</v>
      </c>
      <c r="C110" s="109">
        <v>3.04</v>
      </c>
      <c r="F110" s="109"/>
      <c r="G110" s="109"/>
    </row>
    <row r="111" spans="1:7" x14ac:dyDescent="0.25">
      <c r="A111">
        <v>958</v>
      </c>
      <c r="B111" s="109">
        <v>22.22</v>
      </c>
      <c r="C111" s="109">
        <v>3.6</v>
      </c>
      <c r="F111" s="109"/>
      <c r="G111" s="109"/>
    </row>
    <row r="112" spans="1:7" x14ac:dyDescent="0.25">
      <c r="A112">
        <v>965</v>
      </c>
      <c r="B112" s="109">
        <v>8.4700000000000006</v>
      </c>
      <c r="C112" s="109">
        <v>2.2799999999999998</v>
      </c>
      <c r="F112" s="109"/>
      <c r="G112" s="109"/>
    </row>
    <row r="113" spans="1:7" x14ac:dyDescent="0.25">
      <c r="A113">
        <v>967</v>
      </c>
      <c r="B113" s="109">
        <v>18.5</v>
      </c>
      <c r="C113" s="109">
        <v>2.2799999999999998</v>
      </c>
      <c r="F113" s="109"/>
      <c r="G113" s="109"/>
    </row>
    <row r="114" spans="1:7" x14ac:dyDescent="0.25">
      <c r="A114">
        <v>968</v>
      </c>
      <c r="B114" s="109">
        <v>22.1</v>
      </c>
      <c r="C114" s="109">
        <v>2.2799999999999998</v>
      </c>
      <c r="F114" s="109"/>
      <c r="G114" s="109"/>
    </row>
    <row r="115" spans="1:7" x14ac:dyDescent="0.25">
      <c r="A115">
        <v>971</v>
      </c>
      <c r="B115" s="109">
        <v>15.07</v>
      </c>
      <c r="C115" s="109">
        <v>1.54</v>
      </c>
      <c r="F115" s="109"/>
      <c r="G115" s="109"/>
    </row>
    <row r="116" spans="1:7" x14ac:dyDescent="0.25">
      <c r="A116">
        <v>972</v>
      </c>
      <c r="B116" s="109">
        <v>20.239999999999998</v>
      </c>
      <c r="C116" s="109">
        <v>2.2799999999999998</v>
      </c>
      <c r="F116" s="109"/>
      <c r="G116" s="109"/>
    </row>
    <row r="117" spans="1:7" x14ac:dyDescent="0.25">
      <c r="A117">
        <v>973</v>
      </c>
      <c r="B117" s="109">
        <v>23.76</v>
      </c>
      <c r="C117" s="109">
        <v>2.2799999999999998</v>
      </c>
      <c r="F117" s="109"/>
      <c r="G117" s="109"/>
    </row>
    <row r="118" spans="1:7" x14ac:dyDescent="0.25">
      <c r="A118">
        <v>975</v>
      </c>
      <c r="B118" s="109">
        <v>19.57</v>
      </c>
      <c r="C118" s="109">
        <v>1.54</v>
      </c>
      <c r="F118" s="109"/>
      <c r="G118" s="109"/>
    </row>
    <row r="119" spans="1:7" x14ac:dyDescent="0.25">
      <c r="A119">
        <v>901</v>
      </c>
      <c r="B119" s="109">
        <v>7.64</v>
      </c>
      <c r="C119" s="109">
        <v>1.74</v>
      </c>
      <c r="F119" s="109"/>
      <c r="G119" s="109"/>
    </row>
    <row r="120" spans="1:7" x14ac:dyDescent="0.25">
      <c r="A120">
        <v>902</v>
      </c>
      <c r="B120" s="109">
        <v>11.82</v>
      </c>
      <c r="C120" s="109">
        <v>1.74</v>
      </c>
      <c r="F120" s="109"/>
      <c r="G120" s="109"/>
    </row>
    <row r="121" spans="1:7" x14ac:dyDescent="0.25">
      <c r="A121">
        <v>903</v>
      </c>
      <c r="B121" s="109">
        <v>20.41</v>
      </c>
      <c r="C121" s="109">
        <v>1.38</v>
      </c>
      <c r="F121" s="109"/>
      <c r="G121" s="109"/>
    </row>
    <row r="122" spans="1:7" x14ac:dyDescent="0.25">
      <c r="A122">
        <v>904</v>
      </c>
      <c r="B122" s="109">
        <v>15.21</v>
      </c>
      <c r="C122" s="109">
        <v>1.41</v>
      </c>
      <c r="F122" s="109"/>
      <c r="G122" s="109"/>
    </row>
    <row r="123" spans="1:7" x14ac:dyDescent="0.25">
      <c r="A123">
        <v>905</v>
      </c>
      <c r="B123" s="109">
        <v>11.57</v>
      </c>
      <c r="C123" s="109">
        <v>2.2599999999999998</v>
      </c>
      <c r="F123" s="109"/>
      <c r="G123" s="109"/>
    </row>
    <row r="124" spans="1:7" x14ac:dyDescent="0.25">
      <c r="A124">
        <v>906</v>
      </c>
      <c r="B124" s="109">
        <v>21.2</v>
      </c>
      <c r="C124" s="109">
        <v>2.5099999999999998</v>
      </c>
      <c r="F124" s="109"/>
      <c r="G124" s="109"/>
    </row>
    <row r="125" spans="1:7" x14ac:dyDescent="0.25">
      <c r="A125">
        <v>907</v>
      </c>
      <c r="B125" s="109">
        <v>22.22</v>
      </c>
      <c r="C125" s="109">
        <v>3.6</v>
      </c>
      <c r="F125" s="109"/>
      <c r="G125" s="109"/>
    </row>
    <row r="126" spans="1:7" x14ac:dyDescent="0.25">
      <c r="A126">
        <v>981</v>
      </c>
      <c r="B126" s="109">
        <v>7.72</v>
      </c>
      <c r="C126" s="109">
        <v>1.74</v>
      </c>
      <c r="F126" s="109"/>
      <c r="G126" s="109"/>
    </row>
    <row r="127" spans="1:7" x14ac:dyDescent="0.25">
      <c r="A127">
        <v>982</v>
      </c>
      <c r="B127" s="109">
        <v>10.85</v>
      </c>
      <c r="C127" s="109">
        <v>1.19</v>
      </c>
      <c r="F127" s="109"/>
      <c r="G127" s="109"/>
    </row>
    <row r="128" spans="1:7" x14ac:dyDescent="0.25">
      <c r="A128">
        <v>983</v>
      </c>
      <c r="B128" s="109">
        <v>14.74</v>
      </c>
      <c r="C128" s="109">
        <v>2.5099999999999998</v>
      </c>
      <c r="F128" s="109"/>
      <c r="G128" s="109"/>
    </row>
    <row r="129" spans="1:7" x14ac:dyDescent="0.25">
      <c r="A129">
        <v>984</v>
      </c>
      <c r="B129" s="109">
        <v>26.6</v>
      </c>
      <c r="C129" s="109">
        <v>1.55</v>
      </c>
      <c r="F129" s="109"/>
      <c r="G129" s="109"/>
    </row>
    <row r="130" spans="1:7" x14ac:dyDescent="0.25">
      <c r="A130">
        <v>985</v>
      </c>
      <c r="B130" s="109">
        <v>16.510000000000002</v>
      </c>
      <c r="C130" s="109">
        <v>3.45</v>
      </c>
      <c r="F130" s="109"/>
      <c r="G130" s="109"/>
    </row>
    <row r="131" spans="1:7" x14ac:dyDescent="0.25">
      <c r="A131">
        <v>986</v>
      </c>
      <c r="B131" s="109">
        <v>27.78</v>
      </c>
      <c r="C131" s="109">
        <v>4.0999999999999996</v>
      </c>
      <c r="F131" s="109"/>
      <c r="G131" s="109"/>
    </row>
    <row r="132" spans="1:7" x14ac:dyDescent="0.25">
      <c r="A132">
        <v>987</v>
      </c>
      <c r="B132" s="109">
        <v>17.77</v>
      </c>
      <c r="C132" s="109">
        <v>3.04</v>
      </c>
      <c r="F132" s="109"/>
      <c r="G132" s="109"/>
    </row>
    <row r="133" spans="1:7" x14ac:dyDescent="0.25">
      <c r="A133">
        <v>988</v>
      </c>
      <c r="B133" s="109">
        <v>18.5</v>
      </c>
      <c r="C133" s="109">
        <v>2.2799999999999998</v>
      </c>
      <c r="F133" s="109"/>
      <c r="G133" s="109"/>
    </row>
    <row r="134" spans="1:7" x14ac:dyDescent="0.25">
      <c r="A134">
        <v>989</v>
      </c>
      <c r="B134" s="109">
        <v>22.1</v>
      </c>
      <c r="C134" s="109">
        <v>2.2799999999999998</v>
      </c>
      <c r="F134" s="109"/>
      <c r="G134" s="109"/>
    </row>
    <row r="135" spans="1:7" x14ac:dyDescent="0.25">
      <c r="A135">
        <v>990</v>
      </c>
      <c r="B135" s="109">
        <v>19.57</v>
      </c>
      <c r="C135" s="109">
        <v>1.54</v>
      </c>
      <c r="F135" s="109"/>
      <c r="G135" s="109"/>
    </row>
    <row r="136" spans="1:7" x14ac:dyDescent="0.25">
      <c r="A136">
        <v>991</v>
      </c>
      <c r="B136" s="109">
        <v>8.4700000000000006</v>
      </c>
      <c r="C136" s="109">
        <v>2.2799999999999998</v>
      </c>
      <c r="F136" s="109"/>
      <c r="G136" s="109"/>
    </row>
    <row r="137" spans="1:7" x14ac:dyDescent="0.25">
      <c r="A137">
        <v>992</v>
      </c>
      <c r="B137" s="109">
        <v>15.07</v>
      </c>
      <c r="C137" s="109">
        <v>1.54</v>
      </c>
      <c r="F137" s="109"/>
      <c r="G137" s="109"/>
    </row>
    <row r="138" spans="1:7" x14ac:dyDescent="0.25">
      <c r="A138">
        <v>993</v>
      </c>
      <c r="B138" s="109">
        <v>20.239999999999998</v>
      </c>
      <c r="C138" s="109">
        <v>2.2799999999999998</v>
      </c>
      <c r="F138" s="109"/>
      <c r="G138" s="109"/>
    </row>
    <row r="139" spans="1:7" x14ac:dyDescent="0.25">
      <c r="A139">
        <v>994</v>
      </c>
      <c r="B139" s="109">
        <v>23.76</v>
      </c>
      <c r="C139" s="109">
        <v>2.2799999999999998</v>
      </c>
      <c r="F139" s="109"/>
      <c r="G139" s="109"/>
    </row>
    <row r="140" spans="1:7" x14ac:dyDescent="0.25">
      <c r="A140">
        <v>425</v>
      </c>
      <c r="B140" s="109">
        <v>7.83</v>
      </c>
      <c r="C140" s="109">
        <v>0.17</v>
      </c>
      <c r="F140" s="109"/>
      <c r="G140" s="109"/>
    </row>
    <row r="141" spans="1:7" x14ac:dyDescent="0.25">
      <c r="A141">
        <v>626</v>
      </c>
      <c r="B141" s="109">
        <v>3.87</v>
      </c>
      <c r="C141" s="109">
        <v>0.17</v>
      </c>
      <c r="F141" s="109"/>
      <c r="G141" s="109"/>
    </row>
    <row r="142" spans="1:7" x14ac:dyDescent="0.25">
      <c r="A142">
        <v>627</v>
      </c>
      <c r="B142" s="109">
        <v>4.58</v>
      </c>
      <c r="C142" s="109">
        <v>0.17</v>
      </c>
      <c r="F142" s="109"/>
      <c r="G142" s="109"/>
    </row>
    <row r="143" spans="1:7" x14ac:dyDescent="0.25">
      <c r="A143">
        <v>597</v>
      </c>
      <c r="B143" s="109">
        <v>9.7799999999999994</v>
      </c>
      <c r="C143" s="109">
        <v>0.31</v>
      </c>
      <c r="F143" s="109"/>
      <c r="G143" s="109"/>
    </row>
    <row r="144" spans="1:7" x14ac:dyDescent="0.25">
      <c r="A144">
        <v>637</v>
      </c>
      <c r="B144" s="109">
        <v>8.19</v>
      </c>
      <c r="C144" s="109">
        <v>0.17</v>
      </c>
      <c r="F144" s="109"/>
      <c r="G144" s="109"/>
    </row>
    <row r="145" spans="1:7" x14ac:dyDescent="0.25">
      <c r="A145">
        <v>594</v>
      </c>
      <c r="B145" s="109">
        <v>15.68</v>
      </c>
      <c r="C145" s="109">
        <v>0.31</v>
      </c>
      <c r="F145" s="109"/>
      <c r="G145" s="109"/>
    </row>
    <row r="146" spans="1:7" x14ac:dyDescent="0.25">
      <c r="A146">
        <v>599</v>
      </c>
      <c r="B146" s="109">
        <v>22.6</v>
      </c>
      <c r="C146" s="109">
        <v>0.14000000000000001</v>
      </c>
      <c r="F146" s="109"/>
      <c r="G146" s="109"/>
    </row>
    <row r="147" spans="1:7" x14ac:dyDescent="0.25">
      <c r="A147">
        <v>595</v>
      </c>
      <c r="B147" s="109">
        <v>31.03</v>
      </c>
      <c r="C147" s="109">
        <v>0.14000000000000001</v>
      </c>
      <c r="F147" s="109"/>
      <c r="G147" s="109"/>
    </row>
    <row r="148" spans="1:7" x14ac:dyDescent="0.25">
      <c r="A148">
        <v>588</v>
      </c>
      <c r="B148" s="109">
        <v>32.53</v>
      </c>
      <c r="C148" s="109">
        <v>0.34</v>
      </c>
      <c r="F148" s="109"/>
      <c r="G148" s="109"/>
    </row>
    <row r="149" spans="1:7" x14ac:dyDescent="0.25">
      <c r="A149">
        <v>607</v>
      </c>
      <c r="B149" s="109">
        <v>16.63</v>
      </c>
      <c r="C149" s="109">
        <v>0.34</v>
      </c>
      <c r="F149" s="109"/>
      <c r="G149" s="109"/>
    </row>
    <row r="150" spans="1:7" x14ac:dyDescent="0.25">
      <c r="A150">
        <v>612</v>
      </c>
      <c r="B150" s="109">
        <v>22.29</v>
      </c>
      <c r="C150" s="109">
        <v>0.34</v>
      </c>
      <c r="F150" s="109"/>
      <c r="G150" s="109"/>
    </row>
    <row r="151" spans="1:7" x14ac:dyDescent="0.25">
      <c r="A151">
        <v>614</v>
      </c>
      <c r="B151" s="109">
        <v>33.64</v>
      </c>
      <c r="C151" s="109">
        <v>0.34</v>
      </c>
      <c r="F151" s="109"/>
      <c r="G151" s="109"/>
    </row>
    <row r="152" spans="1:7" x14ac:dyDescent="0.25">
      <c r="A152">
        <v>596</v>
      </c>
      <c r="B152" s="109">
        <v>37.9</v>
      </c>
      <c r="C152" s="109">
        <v>0.14000000000000001</v>
      </c>
      <c r="F152" s="109"/>
      <c r="G152" s="109"/>
    </row>
    <row r="153" spans="1:7" x14ac:dyDescent="0.25">
      <c r="A153">
        <v>523</v>
      </c>
      <c r="B153" s="109">
        <v>30.45</v>
      </c>
      <c r="C153" s="109">
        <v>0.14000000000000001</v>
      </c>
      <c r="F153" s="109"/>
      <c r="G153" s="109"/>
    </row>
    <row r="154" spans="1:7" x14ac:dyDescent="0.25">
      <c r="A154">
        <v>591</v>
      </c>
      <c r="B154" s="109">
        <v>41.94</v>
      </c>
      <c r="C154" s="109">
        <v>0.14000000000000001</v>
      </c>
      <c r="F154" s="109"/>
      <c r="G154" s="109"/>
    </row>
    <row r="155" spans="1:7" x14ac:dyDescent="0.25">
      <c r="A155">
        <v>592</v>
      </c>
      <c r="B155" s="109">
        <v>36.01</v>
      </c>
      <c r="C155" s="109">
        <v>0.14000000000000001</v>
      </c>
      <c r="F155" s="109"/>
      <c r="G155" s="109"/>
    </row>
    <row r="156" spans="1:7" x14ac:dyDescent="0.25">
      <c r="A156">
        <v>593</v>
      </c>
      <c r="B156" s="109">
        <v>20.260000000000002</v>
      </c>
      <c r="C156" s="109">
        <v>1.1000000000000001</v>
      </c>
      <c r="F156" s="109"/>
      <c r="G156" s="109"/>
    </row>
    <row r="157" spans="1:7" x14ac:dyDescent="0.25">
      <c r="A157">
        <v>583</v>
      </c>
      <c r="B157" s="109">
        <v>30.44</v>
      </c>
      <c r="C157" s="109">
        <v>0.14000000000000001</v>
      </c>
      <c r="F157" s="109"/>
      <c r="G157" s="109"/>
    </row>
    <row r="158" spans="1:7" x14ac:dyDescent="0.25">
      <c r="A158">
        <v>422</v>
      </c>
      <c r="B158" s="109">
        <v>12.46</v>
      </c>
      <c r="C158" s="109">
        <v>1.3</v>
      </c>
      <c r="F158" s="109"/>
      <c r="G158" s="109"/>
    </row>
    <row r="159" spans="1:7" x14ac:dyDescent="0.25">
      <c r="A159">
        <v>616</v>
      </c>
      <c r="B159" s="109">
        <v>41.39</v>
      </c>
      <c r="C159" s="109">
        <v>0.34</v>
      </c>
      <c r="F159" s="109"/>
      <c r="G159" s="109"/>
    </row>
    <row r="160" spans="1:7" x14ac:dyDescent="0.25">
      <c r="A160">
        <v>615</v>
      </c>
      <c r="B160" s="109">
        <v>17.78</v>
      </c>
      <c r="C160" s="109">
        <v>0.34</v>
      </c>
      <c r="F160" s="109"/>
      <c r="G160" s="109"/>
    </row>
    <row r="161" spans="1:7" x14ac:dyDescent="0.25">
      <c r="A161">
        <v>622</v>
      </c>
      <c r="B161" s="109">
        <v>56.67</v>
      </c>
      <c r="C161" s="109">
        <v>0.34</v>
      </c>
      <c r="F161" s="109"/>
      <c r="G161" s="109"/>
    </row>
    <row r="162" spans="1:7" x14ac:dyDescent="0.25">
      <c r="A162">
        <v>623</v>
      </c>
      <c r="B162" s="109">
        <v>48.78</v>
      </c>
      <c r="C162" s="109">
        <v>3.85</v>
      </c>
      <c r="F162" s="109"/>
      <c r="G162" s="109"/>
    </row>
    <row r="163" spans="1:7" x14ac:dyDescent="0.25">
      <c r="A163">
        <v>584</v>
      </c>
      <c r="B163" s="109">
        <v>23.38</v>
      </c>
      <c r="C163" s="109">
        <v>1.1000000000000001</v>
      </c>
      <c r="F163" s="109"/>
      <c r="G163" s="109"/>
    </row>
    <row r="164" spans="1:7" x14ac:dyDescent="0.25">
      <c r="A164">
        <v>581</v>
      </c>
      <c r="B164" s="109">
        <v>35.69</v>
      </c>
      <c r="C164" s="109">
        <v>1.1000000000000001</v>
      </c>
      <c r="F164" s="109"/>
      <c r="G164" s="109"/>
    </row>
    <row r="165" spans="1:7" x14ac:dyDescent="0.25">
      <c r="A165">
        <v>586</v>
      </c>
      <c r="B165" s="109">
        <v>27.22</v>
      </c>
      <c r="C165" s="109">
        <v>1.1000000000000001</v>
      </c>
      <c r="F165" s="109"/>
      <c r="G165" s="109"/>
    </row>
    <row r="166" spans="1:7" x14ac:dyDescent="0.25">
      <c r="A166">
        <v>585</v>
      </c>
      <c r="B166" s="109">
        <v>35.630000000000003</v>
      </c>
      <c r="C166" s="109">
        <v>1.1000000000000001</v>
      </c>
      <c r="F166" s="109"/>
      <c r="G166" s="109"/>
    </row>
    <row r="167" spans="1:7" x14ac:dyDescent="0.25">
      <c r="A167">
        <v>590</v>
      </c>
      <c r="B167" s="109">
        <v>30.8</v>
      </c>
      <c r="C167" s="109">
        <v>1.1000000000000001</v>
      </c>
      <c r="F167" s="109"/>
      <c r="G167" s="109"/>
    </row>
    <row r="168" spans="1:7" x14ac:dyDescent="0.25">
      <c r="A168">
        <v>580</v>
      </c>
      <c r="B168" s="109">
        <v>25.79</v>
      </c>
      <c r="C168" s="109">
        <v>1.1000000000000001</v>
      </c>
      <c r="F168" s="109"/>
      <c r="G168" s="109"/>
    </row>
    <row r="169" spans="1:7" x14ac:dyDescent="0.25">
      <c r="A169">
        <v>587</v>
      </c>
      <c r="B169" s="109">
        <v>27.23</v>
      </c>
      <c r="C169" s="109">
        <v>1.1000000000000001</v>
      </c>
      <c r="F169" s="109"/>
      <c r="G169" s="109"/>
    </row>
    <row r="170" spans="1:7" x14ac:dyDescent="0.25">
      <c r="A170">
        <v>589</v>
      </c>
      <c r="B170" s="109">
        <v>51.02</v>
      </c>
      <c r="C170" s="109">
        <v>1.68</v>
      </c>
      <c r="F170" s="109"/>
      <c r="G170" s="109"/>
    </row>
    <row r="171" spans="1:7" x14ac:dyDescent="0.25">
      <c r="A171">
        <v>624</v>
      </c>
      <c r="B171" s="109">
        <v>10.84</v>
      </c>
      <c r="C171" s="109">
        <v>1.3</v>
      </c>
      <c r="F171" s="109"/>
      <c r="G171" s="109"/>
    </row>
    <row r="172" spans="1:7" x14ac:dyDescent="0.25">
      <c r="A172">
        <v>582</v>
      </c>
      <c r="B172" s="109">
        <v>19.72</v>
      </c>
      <c r="C172" s="109">
        <v>1.1000000000000001</v>
      </c>
      <c r="F172" s="109"/>
      <c r="G172" s="109"/>
    </row>
    <row r="173" spans="1:7" x14ac:dyDescent="0.25">
      <c r="A173">
        <v>525</v>
      </c>
      <c r="B173" s="109">
        <v>32.49</v>
      </c>
      <c r="C173" s="109">
        <v>1.1000000000000001</v>
      </c>
      <c r="F173" s="109"/>
      <c r="G173" s="109"/>
    </row>
    <row r="174" spans="1:7" x14ac:dyDescent="0.25">
      <c r="A174">
        <v>641</v>
      </c>
      <c r="B174" s="109">
        <v>6.94</v>
      </c>
      <c r="C174" s="109">
        <v>0.34</v>
      </c>
      <c r="F174" s="109"/>
      <c r="G174" s="109"/>
    </row>
    <row r="175" spans="1:7" x14ac:dyDescent="0.25">
      <c r="A175">
        <v>563</v>
      </c>
      <c r="B175" s="109">
        <v>8.39</v>
      </c>
      <c r="C175" s="109">
        <v>1.43</v>
      </c>
      <c r="F175" s="109"/>
      <c r="G175" s="109"/>
    </row>
    <row r="176" spans="1:7" x14ac:dyDescent="0.25">
      <c r="A176">
        <v>569</v>
      </c>
      <c r="B176" s="109">
        <v>4.75</v>
      </c>
      <c r="C176" s="109">
        <v>0.06</v>
      </c>
      <c r="F176" s="109"/>
      <c r="G176" s="109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C0D4-4833-42F4-B11E-F043DB17DC56}">
  <dimension ref="C1:C2"/>
  <sheetViews>
    <sheetView workbookViewId="0">
      <selection activeCell="C2" sqref="C2"/>
    </sheetView>
  </sheetViews>
  <sheetFormatPr defaultColWidth="9" defaultRowHeight="15" x14ac:dyDescent="0.25"/>
  <cols>
    <col min="1" max="1" width="5" bestFit="1" customWidth="1"/>
    <col min="2" max="2" width="6.85546875" bestFit="1" customWidth="1"/>
    <col min="3" max="3" width="10.140625" bestFit="1" customWidth="1"/>
    <col min="4" max="4" width="8.7109375" bestFit="1" customWidth="1"/>
    <col min="5" max="5" width="8.85546875" bestFit="1" customWidth="1"/>
    <col min="6" max="6" width="8" bestFit="1" customWidth="1"/>
    <col min="7" max="7" width="8.5703125" bestFit="1" customWidth="1"/>
    <col min="8" max="9" width="8" bestFit="1" customWidth="1"/>
    <col min="10" max="10" width="10.5703125" bestFit="1" customWidth="1"/>
    <col min="11" max="11" width="11" bestFit="1" customWidth="1"/>
    <col min="13" max="15" width="8.85546875" bestFit="1" customWidth="1"/>
    <col min="17" max="17" width="11.5703125" bestFit="1" customWidth="1"/>
    <col min="18" max="18" width="10" bestFit="1" customWidth="1"/>
    <col min="19" max="19" width="11.5703125" bestFit="1" customWidth="1"/>
    <col min="21" max="21" width="10" bestFit="1" customWidth="1"/>
  </cols>
  <sheetData>
    <row r="1" spans="3:3" x14ac:dyDescent="0.25">
      <c r="C1" s="89">
        <v>2025</v>
      </c>
    </row>
    <row r="2" spans="3:3" x14ac:dyDescent="0.25">
      <c r="C2" s="244">
        <v>5330833.4751721025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E9F02-D165-4AC8-B786-5720940ED53C}">
  <dimension ref="B1:B2"/>
  <sheetViews>
    <sheetView workbookViewId="0">
      <selection activeCell="B2" sqref="B2"/>
    </sheetView>
  </sheetViews>
  <sheetFormatPr defaultRowHeight="15" x14ac:dyDescent="0.25"/>
  <sheetData>
    <row r="1" spans="2:2" x14ac:dyDescent="0.25">
      <c r="B1">
        <v>2025</v>
      </c>
    </row>
    <row r="2" spans="2:2" x14ac:dyDescent="0.25">
      <c r="B2" s="4">
        <v>30449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53A5C-75FD-4AE9-B3DB-29FB007ABE2A}">
  <dimension ref="C2:J12"/>
  <sheetViews>
    <sheetView workbookViewId="0"/>
  </sheetViews>
  <sheetFormatPr defaultRowHeight="15" x14ac:dyDescent="0.25"/>
  <cols>
    <col min="1" max="1" width="43.5703125" bestFit="1" customWidth="1"/>
    <col min="2" max="2" width="12.140625" bestFit="1" customWidth="1"/>
    <col min="3" max="3" width="15.7109375" bestFit="1" customWidth="1"/>
    <col min="4" max="4" width="38.7109375" bestFit="1" customWidth="1"/>
    <col min="5" max="5" width="23.5703125" bestFit="1" customWidth="1"/>
    <col min="6" max="6" width="35.7109375" bestFit="1" customWidth="1"/>
    <col min="8" max="8" width="11" bestFit="1" customWidth="1"/>
    <col min="9" max="9" width="13.85546875" bestFit="1" customWidth="1"/>
  </cols>
  <sheetData>
    <row r="2" spans="3:10" x14ac:dyDescent="0.25">
      <c r="C2" s="85"/>
      <c r="D2" s="85"/>
      <c r="E2" s="85"/>
      <c r="F2" s="85"/>
    </row>
    <row r="3" spans="3:10" x14ac:dyDescent="0.25">
      <c r="C3" s="85" t="s">
        <v>813</v>
      </c>
      <c r="D3" s="90" t="s">
        <v>1518</v>
      </c>
      <c r="E3" s="85" t="s">
        <v>1210</v>
      </c>
      <c r="F3" s="90" t="s">
        <v>1515</v>
      </c>
      <c r="I3" s="244"/>
    </row>
    <row r="4" spans="3:10" x14ac:dyDescent="0.25">
      <c r="C4" t="s">
        <v>814</v>
      </c>
      <c r="D4" s="86">
        <v>1165080508.2696974</v>
      </c>
      <c r="E4" s="86">
        <v>46813071.088483386</v>
      </c>
      <c r="F4" s="86">
        <f>+D4+E4</f>
        <v>1211893579.3581808</v>
      </c>
      <c r="H4" s="362"/>
      <c r="I4" s="244"/>
      <c r="J4" s="110"/>
    </row>
    <row r="5" spans="3:10" x14ac:dyDescent="0.25">
      <c r="C5" t="s">
        <v>815</v>
      </c>
      <c r="D5" s="86">
        <v>105096736.51060821</v>
      </c>
      <c r="E5" s="86">
        <v>4222799.1649653725</v>
      </c>
      <c r="F5" s="86">
        <f t="shared" ref="F5:F10" si="0">+D5+E5</f>
        <v>109319535.67557359</v>
      </c>
      <c r="H5" s="362"/>
      <c r="I5" s="244"/>
    </row>
    <row r="6" spans="3:10" x14ac:dyDescent="0.25">
      <c r="C6" t="s">
        <v>816</v>
      </c>
      <c r="D6" s="86">
        <v>435447377.24637169</v>
      </c>
      <c r="E6" s="86">
        <v>17496326.547082983</v>
      </c>
      <c r="F6" s="86">
        <f t="shared" si="0"/>
        <v>452943703.79345465</v>
      </c>
      <c r="H6" s="362"/>
      <c r="I6" s="244"/>
    </row>
    <row r="7" spans="3:10" x14ac:dyDescent="0.25">
      <c r="C7" t="s">
        <v>817</v>
      </c>
      <c r="D7" s="86">
        <v>50742789.422447518</v>
      </c>
      <c r="E7" s="86">
        <v>2038851.2138005025</v>
      </c>
      <c r="F7" s="86">
        <f t="shared" si="0"/>
        <v>52781640.636248022</v>
      </c>
      <c r="H7" s="362"/>
      <c r="I7" s="244"/>
    </row>
    <row r="8" spans="3:10" x14ac:dyDescent="0.25">
      <c r="C8" t="s">
        <v>818</v>
      </c>
      <c r="D8" s="86">
        <v>31778827.000000864</v>
      </c>
      <c r="E8" s="86">
        <v>1276876.9856677453</v>
      </c>
      <c r="F8" s="86">
        <f t="shared" si="0"/>
        <v>33055703.985668611</v>
      </c>
      <c r="H8" s="362"/>
      <c r="I8" s="244"/>
    </row>
    <row r="9" spans="3:10" x14ac:dyDescent="0.25">
      <c r="C9" t="s">
        <v>819</v>
      </c>
      <c r="D9" s="86">
        <v>3573046.9034759998</v>
      </c>
      <c r="E9" s="86">
        <v>0</v>
      </c>
      <c r="F9" s="86">
        <f t="shared" si="0"/>
        <v>3573046.9034759998</v>
      </c>
      <c r="H9" s="261"/>
      <c r="I9" s="244"/>
    </row>
    <row r="10" spans="3:10" x14ac:dyDescent="0.25">
      <c r="C10" t="s">
        <v>820</v>
      </c>
      <c r="D10" s="86">
        <v>82707820.715172112</v>
      </c>
      <c r="E10" s="86">
        <v>0</v>
      </c>
      <c r="F10" s="86">
        <f t="shared" si="0"/>
        <v>82707820.715172112</v>
      </c>
      <c r="H10" s="261"/>
      <c r="I10" s="244"/>
    </row>
    <row r="12" spans="3:10" x14ac:dyDescent="0.25">
      <c r="C12" t="s">
        <v>335</v>
      </c>
      <c r="D12" s="86">
        <f>+SUM(D4:D10)</f>
        <v>1874427106.0677738</v>
      </c>
      <c r="E12" s="86">
        <f t="shared" ref="E12" si="1">+SUM(E4:E10)</f>
        <v>71847925</v>
      </c>
      <c r="F12" s="86">
        <f>+SUM(F4:F10)</f>
        <v>1946275031.0677738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6" ma:contentTypeDescription="Create a new document." ma:contentTypeScope="" ma:versionID="c410bab37c303177467c07dd821a813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92d1cf030671a911d22a5604d084b24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5f9a743-18e3-40ef-b0a4-47096f190587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9D1C86A-9C59-4B02-8FEC-F97CD307CAF9}"/>
</file>

<file path=customXml/itemProps2.xml><?xml version="1.0" encoding="utf-8"?>
<ds:datastoreItem xmlns:ds="http://schemas.openxmlformats.org/officeDocument/2006/customXml" ds:itemID="{52A361A7-F786-4B64-9EC0-31091B11B9FF}"/>
</file>

<file path=customXml/itemProps3.xml><?xml version="1.0" encoding="utf-8"?>
<ds:datastoreItem xmlns:ds="http://schemas.openxmlformats.org/officeDocument/2006/customXml" ds:itemID="{E3D846E0-EB63-41DA-A6B2-A0B01669F2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9</vt:i4>
      </vt:variant>
    </vt:vector>
  </HeadingPairs>
  <TitlesOfParts>
    <vt:vector size="31" baseType="lpstr">
      <vt:lpstr>2025 Billing Determinants</vt:lpstr>
      <vt:lpstr>AMI Opt Out</vt:lpstr>
      <vt:lpstr>CISR &amp; EDR</vt:lpstr>
      <vt:lpstr>2026 Base Rates</vt:lpstr>
      <vt:lpstr>2025 Lighting BDs</vt:lpstr>
      <vt:lpstr>2026 Lighting Rates</vt:lpstr>
      <vt:lpstr>LS-2 Facilities Input</vt:lpstr>
      <vt:lpstr>Senior Care Program Estimate</vt:lpstr>
      <vt:lpstr>Operating Revenue Requirement</vt:lpstr>
      <vt:lpstr>A-2 for RS_GS_GSD</vt:lpstr>
      <vt:lpstr>A-2 FOR GSLDPR_GSLDTPR_GSLDSU</vt:lpstr>
      <vt:lpstr>A-3</vt:lpstr>
      <vt:lpstr>E-13a</vt:lpstr>
      <vt:lpstr>Cover Page E-13c</vt:lpstr>
      <vt:lpstr>2027 RS Rate Class E-13c</vt:lpstr>
      <vt:lpstr>2027 GS Rate Class E-13c</vt:lpstr>
      <vt:lpstr>2027 GSD Rate Class E-13c</vt:lpstr>
      <vt:lpstr>2027 GSLDPR Rate Class E-13c</vt:lpstr>
      <vt:lpstr>2027 GSLDSU Rate Class E-13c</vt:lpstr>
      <vt:lpstr>2027 LS Rate Class E-13c</vt:lpstr>
      <vt:lpstr>E-13d</vt:lpstr>
      <vt:lpstr>2027 Base Rates</vt:lpstr>
      <vt:lpstr>'2027 GS Rate Class E-13c'!Print_Area</vt:lpstr>
      <vt:lpstr>'2027 GSD Rate Class E-13c'!Print_Area</vt:lpstr>
      <vt:lpstr>'2027 GSLDPR Rate Class E-13c'!Print_Area</vt:lpstr>
      <vt:lpstr>'2027 GSLDSU Rate Class E-13c'!Print_Area</vt:lpstr>
      <vt:lpstr>'2027 LS Rate Class E-13c'!Print_Area</vt:lpstr>
      <vt:lpstr>'2027 RS Rate Class E-13c'!Print_Area</vt:lpstr>
      <vt:lpstr>'Cover Page E-13c'!Print_Area</vt:lpstr>
      <vt:lpstr>'E-13a'!Print_Area</vt:lpstr>
      <vt:lpstr>'E-13d'!Print_Area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2024-04-17T20:12:16Z</dcterms:created>
  <dcterms:modified xsi:type="dcterms:W3CDTF">2024-04-17T20:12:19Z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2024-04-17T20:12:19Z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62a74c5f-1df1-4553-8a87-77745eab3b0d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0x01010093961404F3F6B34988E14CCD792B016F</vt:lpwstr>
  </property>
  <property fmtid="{D5CDD505-2E9C-101B-9397-08002B2CF9AE}" pid="10" name="Order">
    <vt:r8>934400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