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B\"/>
    </mc:Choice>
  </mc:AlternateContent>
  <xr:revisionPtr revIDLastSave="0" documentId="8_{CD4243EC-449C-400A-8D12-2DB50C94F271}" xr6:coauthVersionLast="47" xr6:coauthVersionMax="47" xr10:uidLastSave="{00000000-0000-0000-0000-000000000000}"/>
  <bookViews>
    <workbookView xWindow="-108" yWindow="-108" windowWidth="23256" windowHeight="12576" xr2:uid="{969C3629-FAC9-426E-A4C3-AC8E89498415}"/>
  </bookViews>
  <sheets>
    <sheet name="B-07 2024B" sheetId="11" r:id="rId1"/>
    <sheet name="ASDR FY1" sheetId="10" r:id="rId2"/>
    <sheet name="Instructions" sheetId="9" r:id="rId3"/>
  </sheets>
  <definedNames>
    <definedName name="_Fill" hidden="1">#REF!</definedName>
    <definedName name="_xlnm._FilterDatabase" localSheetId="0" hidden="1">'B-07 2024B'!#REF!</definedName>
    <definedName name="_Key1" hidden="1">#REF!</definedName>
    <definedName name="_Order1" hidden="1">255</definedName>
    <definedName name="_Sort" hidden="1">#REF!</definedName>
    <definedName name="CIQWBGuid" hidden="1">"f0842c6b-4f67-4da4-8ab9-05f9b8d91da0"</definedName>
    <definedName name="EPMWorkbookOptions_2" hidden="1">"9F3OxBOtzB60hFONCeryveGHd9WJr+7iO45h/1l2AQAA"</definedName>
    <definedName name="EPMWorkbookOptions_4" hidden="1">"6E8MeRREvS+0SUnYctgROJHUxwqaIzX4wXPcx/xMOvmNNbl/cg/z5an9Q+apQ7hbm/7/T6tqTxcJuZJ2ulppmqvR9OFiZW5QrEsa03IVRaNUYmmmfO2KPTcxUkfSBGP2lr12Zi5oLRuCKKp9RT95KbNsucxx3OFLuXSDSzlhMS3Ynt40NKmrajrZEBLh0sxduJlpniDcpqALPbWvidLJyq1UGbpWqx6uXPb2lLuiMS1dXdWFthFX3GvX7Dmp"</definedName>
    <definedName name="EPMWorkbookOptions_5" hidden="1">"KZHH2S/QtnH9L6FzS0ZWun392km5nAJHaJX1P/g9SNOVCssescXmbq+6zTnc2EWS3fX1v4jPyUh8bnUTpf5yVm+rrT5/4llO+fbW7ozBtE4V1YiNd5FmpXmCSGXjT18yRwu1cntCTVjcOHRstw1ZmjfJUu8u2sw0TxCt1tXFvkZ4Fj9Tt9Xb0+0akUSv5K8t3lWameYJKtXlzukHE8fLs3aEPLlqnS0NuErBrJoMkSddLZiVOluw64MqYmoI"</definedName>
    <definedName name="EPMWorkbookOptions_6" hidden="1">"IbAvQJ4zBtMllWzba8W/+sq1q/TMjMRHNXdOVpzQ9TsnGTppSd+vnZHLqe8dSej1Nan3iTW+fntbkITF+f6jK2my2pTvu5CjQKlsdoJSGH8ckMR23DDiqaxbTilrEpt0vX0xbN24fZmM12CAIRypnhqAl1zqSRtjnOgCwrOgqtdDb5AgN80xNrk1R0YWxZwv7vds29Pwqd0wA2sNN10g5PAnwg4yXegAHhK/Re9b9q9fVt6LO3uNfwGmFkse"</definedName>
    <definedName name="EPMWorkbookOptions_7" hidden="1">"7icAAA=="</definedName>
    <definedName name="EV__EVCOM_OPTIONS__" hidden="1">8</definedName>
    <definedName name="EV__EXPOPTIONS__" hidden="1">1</definedName>
    <definedName name="EV__LASTREFTIME__" hidden="1">"(GMT-05:00)4/18/2017 4:58:12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EPS_SURPRISE" hidden="1">"c1635"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ISTING_CURRENCY" hidden="1">"c2127"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41829.3635416667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jjj" hidden="1">{"Page 1",#N/A,FALSE,"INDSDUE2";"Page 2",#N/A,FALSE,"INDSDUE2"}</definedName>
    <definedName name="_xlnm.Print_Area" localSheetId="0">'B-07 2024B'!$A$1:$R$580</definedName>
    <definedName name="wrn.Print." hidden="1">{"Page 1",#N/A,FALSE,"INDSDUE2";"Page 2",#N/A,FALSE,"INDSDUE2"}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7" i="11" l="1"/>
  <c r="R59" i="11"/>
  <c r="R1" i="11"/>
  <c r="R523" i="11"/>
  <c r="R465" i="11"/>
  <c r="R407" i="11"/>
  <c r="R349" i="11"/>
  <c r="R291" i="11"/>
  <c r="R233" i="11"/>
  <c r="R175" i="11"/>
  <c r="R516" i="11"/>
  <c r="R514" i="11"/>
  <c r="R513" i="11"/>
  <c r="R510" i="11"/>
  <c r="R509" i="11"/>
  <c r="R508" i="11"/>
  <c r="R502" i="11"/>
  <c r="R501" i="11"/>
  <c r="R497" i="11"/>
  <c r="R496" i="11"/>
  <c r="R495" i="11"/>
  <c r="R494" i="11"/>
  <c r="R490" i="11"/>
  <c r="R489" i="11"/>
  <c r="R488" i="11"/>
  <c r="R484" i="11"/>
  <c r="R483" i="11"/>
  <c r="R482" i="11"/>
  <c r="R481" i="11"/>
  <c r="R480" i="11"/>
  <c r="R459" i="11"/>
  <c r="R458" i="11"/>
  <c r="R457" i="11"/>
  <c r="R456" i="11"/>
  <c r="R455" i="11"/>
  <c r="R454" i="11"/>
  <c r="R453" i="11"/>
  <c r="R452" i="11"/>
  <c r="R451" i="11"/>
  <c r="R450" i="11"/>
  <c r="R449" i="11"/>
  <c r="R448" i="11"/>
  <c r="R447" i="11"/>
  <c r="R446" i="11"/>
  <c r="R445" i="11"/>
  <c r="R444" i="11"/>
  <c r="R443" i="11"/>
  <c r="R442" i="11"/>
  <c r="R441" i="11"/>
  <c r="R437" i="11"/>
  <c r="R436" i="11"/>
  <c r="R435" i="11"/>
  <c r="R434" i="11"/>
  <c r="R433" i="11"/>
  <c r="R432" i="11"/>
  <c r="R431" i="11"/>
  <c r="R430" i="11"/>
  <c r="R429" i="11"/>
  <c r="R428" i="11"/>
  <c r="R427" i="11"/>
  <c r="R426" i="11"/>
  <c r="R425" i="11"/>
  <c r="R424" i="11"/>
  <c r="R423" i="11"/>
  <c r="R401" i="11"/>
  <c r="R400" i="11"/>
  <c r="R399" i="11"/>
  <c r="R398" i="11"/>
  <c r="R397" i="11"/>
  <c r="R396" i="11"/>
  <c r="R395" i="11"/>
  <c r="R394" i="11"/>
  <c r="R393" i="11"/>
  <c r="R392" i="11"/>
  <c r="R391" i="11"/>
  <c r="R383" i="11"/>
  <c r="R382" i="11"/>
  <c r="R381" i="11"/>
  <c r="R380" i="11"/>
  <c r="R379" i="11"/>
  <c r="R378" i="11"/>
  <c r="R374" i="11"/>
  <c r="R373" i="11"/>
  <c r="R372" i="11"/>
  <c r="R371" i="11"/>
  <c r="R367" i="11"/>
  <c r="R366" i="11"/>
  <c r="R365" i="11"/>
  <c r="R364" i="11"/>
  <c r="R345" i="11"/>
  <c r="R342" i="11"/>
  <c r="R341" i="11"/>
  <c r="R340" i="11"/>
  <c r="R339" i="11"/>
  <c r="R338" i="11"/>
  <c r="R334" i="11"/>
  <c r="R333" i="11"/>
  <c r="R332" i="11"/>
  <c r="R331" i="11"/>
  <c r="R330" i="11"/>
  <c r="R326" i="11"/>
  <c r="R325" i="11"/>
  <c r="R324" i="11"/>
  <c r="R323" i="11"/>
  <c r="R322" i="11"/>
  <c r="R318" i="11"/>
  <c r="R317" i="11"/>
  <c r="R316" i="11"/>
  <c r="R315" i="11"/>
  <c r="R314" i="11"/>
  <c r="R310" i="11"/>
  <c r="R309" i="11"/>
  <c r="R308" i="11"/>
  <c r="R307" i="11"/>
  <c r="R306" i="11"/>
  <c r="R284" i="11"/>
  <c r="R283" i="11"/>
  <c r="R282" i="11"/>
  <c r="R281" i="11"/>
  <c r="R280" i="11"/>
  <c r="R276" i="11"/>
  <c r="R275" i="11"/>
  <c r="R274" i="11"/>
  <c r="R273" i="11"/>
  <c r="R272" i="11"/>
  <c r="R264" i="11"/>
  <c r="R263" i="11"/>
  <c r="R260" i="11"/>
  <c r="R259" i="11"/>
  <c r="R258" i="11"/>
  <c r="R257" i="11"/>
  <c r="R256" i="11"/>
  <c r="R252" i="11"/>
  <c r="R251" i="11"/>
  <c r="R250" i="11"/>
  <c r="R249" i="11"/>
  <c r="R248" i="11"/>
  <c r="R227" i="11"/>
  <c r="R226" i="11"/>
  <c r="R225" i="11"/>
  <c r="R224" i="11"/>
  <c r="R223" i="11"/>
  <c r="R219" i="11"/>
  <c r="R218" i="11"/>
  <c r="R217" i="11"/>
  <c r="R216" i="11"/>
  <c r="R215" i="11"/>
  <c r="R211" i="11"/>
  <c r="R210" i="11"/>
  <c r="R209" i="11"/>
  <c r="R208" i="11"/>
  <c r="R207" i="11"/>
  <c r="R203" i="11"/>
  <c r="R202" i="11"/>
  <c r="R201" i="11"/>
  <c r="R200" i="11"/>
  <c r="R199" i="11"/>
  <c r="R195" i="11"/>
  <c r="R194" i="11"/>
  <c r="R193" i="11"/>
  <c r="R192" i="11"/>
  <c r="R191" i="11"/>
  <c r="R169" i="11"/>
  <c r="R168" i="11"/>
  <c r="R167" i="11"/>
  <c r="R166" i="11"/>
  <c r="R165" i="11"/>
  <c r="R161" i="11"/>
  <c r="R160" i="11"/>
  <c r="R159" i="11"/>
  <c r="R158" i="11"/>
  <c r="R157" i="11"/>
  <c r="R153" i="11"/>
  <c r="R152" i="11"/>
  <c r="R151" i="11"/>
  <c r="R150" i="11"/>
  <c r="R149" i="11"/>
  <c r="R145" i="11"/>
  <c r="R144" i="11"/>
  <c r="R143" i="11"/>
  <c r="R142" i="11"/>
  <c r="R141" i="11"/>
  <c r="R132" i="11"/>
  <c r="R131" i="11"/>
  <c r="R112" i="11"/>
  <c r="R111" i="11"/>
  <c r="R110" i="11"/>
  <c r="R109" i="11"/>
  <c r="R105" i="11"/>
  <c r="R104" i="11"/>
  <c r="R103" i="11"/>
  <c r="R102" i="11"/>
  <c r="R98" i="11"/>
  <c r="R97" i="11"/>
  <c r="R96" i="11"/>
  <c r="R95" i="11"/>
  <c r="R91" i="11"/>
  <c r="R90" i="11"/>
  <c r="R89" i="11"/>
  <c r="R88" i="11"/>
  <c r="R84" i="11"/>
  <c r="R83" i="11"/>
  <c r="R82" i="11"/>
  <c r="R81" i="11"/>
  <c r="R77" i="11"/>
  <c r="R76" i="11"/>
  <c r="R75" i="11"/>
  <c r="R74" i="11"/>
  <c r="R54" i="11"/>
  <c r="R53" i="11"/>
  <c r="R52" i="11"/>
  <c r="R51" i="11"/>
  <c r="R50" i="11"/>
  <c r="R46" i="11"/>
  <c r="R45" i="11"/>
  <c r="R44" i="11"/>
  <c r="R43" i="11"/>
  <c r="R42" i="11"/>
  <c r="R38" i="11"/>
  <c r="R37" i="11"/>
  <c r="R36" i="11"/>
  <c r="R35" i="11"/>
  <c r="R34" i="11"/>
  <c r="R30" i="11"/>
  <c r="R29" i="11"/>
  <c r="R28" i="11"/>
  <c r="R27" i="11"/>
  <c r="R26" i="11"/>
  <c r="R22" i="11"/>
  <c r="R21" i="11"/>
  <c r="R20" i="11"/>
  <c r="R19" i="11"/>
  <c r="R18" i="11"/>
  <c r="N516" i="11"/>
  <c r="N514" i="11"/>
  <c r="N513" i="11"/>
  <c r="N510" i="11"/>
  <c r="N509" i="11"/>
  <c r="N508" i="11"/>
  <c r="N502" i="11"/>
  <c r="N501" i="11"/>
  <c r="N497" i="11"/>
  <c r="N496" i="11"/>
  <c r="N495" i="11"/>
  <c r="N494" i="11"/>
  <c r="N490" i="11"/>
  <c r="N489" i="11"/>
  <c r="N488" i="11"/>
  <c r="N484" i="11"/>
  <c r="N483" i="11"/>
  <c r="N482" i="11"/>
  <c r="N481" i="11"/>
  <c r="N480" i="11"/>
  <c r="N459" i="11"/>
  <c r="N458" i="11"/>
  <c r="N457" i="11"/>
  <c r="N456" i="11"/>
  <c r="N455" i="11"/>
  <c r="N454" i="11"/>
  <c r="N453" i="11"/>
  <c r="N452" i="11"/>
  <c r="N451" i="11"/>
  <c r="N450" i="11"/>
  <c r="N449" i="11"/>
  <c r="N448" i="11"/>
  <c r="N447" i="11"/>
  <c r="N446" i="11"/>
  <c r="N445" i="11"/>
  <c r="N444" i="11"/>
  <c r="N443" i="11"/>
  <c r="N442" i="11"/>
  <c r="N441" i="11"/>
  <c r="N437" i="11"/>
  <c r="N436" i="11"/>
  <c r="N435" i="11"/>
  <c r="N434" i="11"/>
  <c r="N433" i="11"/>
  <c r="N432" i="11"/>
  <c r="N431" i="11"/>
  <c r="N430" i="11"/>
  <c r="N429" i="11"/>
  <c r="N428" i="11"/>
  <c r="N427" i="11"/>
  <c r="N426" i="11"/>
  <c r="N425" i="11"/>
  <c r="N424" i="11"/>
  <c r="N423" i="11"/>
  <c r="N401" i="11"/>
  <c r="N400" i="11"/>
  <c r="N399" i="11"/>
  <c r="N398" i="11"/>
  <c r="N397" i="11"/>
  <c r="N396" i="11"/>
  <c r="N395" i="11"/>
  <c r="N394" i="11"/>
  <c r="N393" i="11"/>
  <c r="N392" i="11"/>
  <c r="N391" i="11"/>
  <c r="N383" i="11"/>
  <c r="N382" i="11"/>
  <c r="N381" i="11"/>
  <c r="N380" i="11"/>
  <c r="N379" i="11"/>
  <c r="N378" i="11"/>
  <c r="N374" i="11"/>
  <c r="N373" i="11"/>
  <c r="N372" i="11"/>
  <c r="N371" i="11"/>
  <c r="N367" i="11"/>
  <c r="N366" i="11"/>
  <c r="N365" i="11"/>
  <c r="N364" i="11"/>
  <c r="N345" i="11"/>
  <c r="N342" i="11"/>
  <c r="N341" i="11"/>
  <c r="N340" i="11"/>
  <c r="N339" i="11"/>
  <c r="N338" i="11"/>
  <c r="N334" i="11"/>
  <c r="N333" i="11"/>
  <c r="N332" i="11"/>
  <c r="N331" i="11"/>
  <c r="N330" i="11"/>
  <c r="N326" i="11"/>
  <c r="N325" i="11"/>
  <c r="N324" i="11"/>
  <c r="N323" i="11"/>
  <c r="N322" i="11"/>
  <c r="N318" i="11"/>
  <c r="N317" i="11"/>
  <c r="N316" i="11"/>
  <c r="N315" i="11"/>
  <c r="N314" i="11"/>
  <c r="N310" i="11"/>
  <c r="N309" i="11"/>
  <c r="N308" i="11"/>
  <c r="N307" i="11"/>
  <c r="N306" i="11"/>
  <c r="N284" i="11"/>
  <c r="N283" i="11"/>
  <c r="N282" i="11"/>
  <c r="N281" i="11"/>
  <c r="N280" i="11"/>
  <c r="N276" i="11"/>
  <c r="N275" i="11"/>
  <c r="N274" i="11"/>
  <c r="N273" i="11"/>
  <c r="N272" i="11"/>
  <c r="N264" i="11"/>
  <c r="N263" i="11"/>
  <c r="N260" i="11"/>
  <c r="N259" i="11"/>
  <c r="N258" i="11"/>
  <c r="N257" i="11"/>
  <c r="N256" i="11"/>
  <c r="N252" i="11"/>
  <c r="N251" i="11"/>
  <c r="N250" i="11"/>
  <c r="N249" i="11"/>
  <c r="N248" i="11"/>
  <c r="N227" i="11"/>
  <c r="N226" i="11"/>
  <c r="N225" i="11"/>
  <c r="N224" i="11"/>
  <c r="N223" i="11"/>
  <c r="N219" i="11"/>
  <c r="N218" i="11"/>
  <c r="N217" i="11"/>
  <c r="N216" i="11"/>
  <c r="N215" i="11"/>
  <c r="N211" i="11"/>
  <c r="N210" i="11"/>
  <c r="N209" i="11"/>
  <c r="N208" i="11"/>
  <c r="N207" i="11"/>
  <c r="N203" i="11"/>
  <c r="N202" i="11"/>
  <c r="N201" i="11"/>
  <c r="N200" i="11"/>
  <c r="N199" i="11"/>
  <c r="N195" i="11"/>
  <c r="N194" i="11"/>
  <c r="N193" i="11"/>
  <c r="N192" i="11"/>
  <c r="N191" i="11"/>
  <c r="N169" i="11"/>
  <c r="N168" i="11"/>
  <c r="N167" i="11"/>
  <c r="N166" i="11"/>
  <c r="N165" i="11"/>
  <c r="N161" i="11"/>
  <c r="N160" i="11"/>
  <c r="N159" i="11"/>
  <c r="N158" i="11"/>
  <c r="N157" i="11"/>
  <c r="N153" i="11"/>
  <c r="N152" i="11"/>
  <c r="N151" i="11"/>
  <c r="N150" i="11"/>
  <c r="N149" i="11"/>
  <c r="N145" i="11"/>
  <c r="N144" i="11"/>
  <c r="N143" i="11"/>
  <c r="N142" i="11"/>
  <c r="N141" i="11"/>
  <c r="N132" i="11"/>
  <c r="N131" i="11"/>
  <c r="N112" i="11"/>
  <c r="N111" i="11"/>
  <c r="N110" i="11"/>
  <c r="N109" i="11"/>
  <c r="N105" i="11"/>
  <c r="N104" i="11"/>
  <c r="N103" i="11"/>
  <c r="N102" i="11"/>
  <c r="N98" i="11"/>
  <c r="N97" i="11"/>
  <c r="N96" i="11"/>
  <c r="N95" i="11"/>
  <c r="N91" i="11"/>
  <c r="N90" i="11"/>
  <c r="N89" i="11"/>
  <c r="N88" i="11"/>
  <c r="N84" i="11"/>
  <c r="N83" i="11"/>
  <c r="N82" i="11"/>
  <c r="N81" i="11"/>
  <c r="N77" i="11"/>
  <c r="N76" i="11"/>
  <c r="N75" i="11"/>
  <c r="N74" i="11"/>
  <c r="N54" i="11"/>
  <c r="N53" i="11"/>
  <c r="N52" i="11"/>
  <c r="N51" i="11"/>
  <c r="N50" i="11"/>
  <c r="N46" i="11"/>
  <c r="N45" i="11"/>
  <c r="N44" i="11"/>
  <c r="N43" i="11"/>
  <c r="N42" i="11"/>
  <c r="N38" i="11"/>
  <c r="N37" i="11"/>
  <c r="N36" i="11"/>
  <c r="N35" i="11"/>
  <c r="N34" i="11"/>
  <c r="N30" i="11"/>
  <c r="N29" i="11"/>
  <c r="N28" i="11"/>
  <c r="N27" i="11"/>
  <c r="N26" i="11"/>
  <c r="N22" i="11"/>
  <c r="N21" i="11"/>
  <c r="N20" i="11"/>
  <c r="N19" i="11"/>
  <c r="N18" i="11"/>
  <c r="L516" i="11"/>
  <c r="L514" i="11"/>
  <c r="L513" i="11"/>
  <c r="L510" i="11"/>
  <c r="L509" i="11"/>
  <c r="L508" i="11"/>
  <c r="L502" i="11"/>
  <c r="L501" i="11"/>
  <c r="L497" i="11"/>
  <c r="L496" i="11"/>
  <c r="L495" i="11"/>
  <c r="L494" i="11"/>
  <c r="L490" i="11"/>
  <c r="L489" i="11"/>
  <c r="L488" i="11"/>
  <c r="L484" i="11"/>
  <c r="L483" i="11"/>
  <c r="L482" i="11"/>
  <c r="L481" i="11"/>
  <c r="L480" i="11"/>
  <c r="L459" i="11"/>
  <c r="L458" i="11"/>
  <c r="L457" i="11"/>
  <c r="L456" i="11"/>
  <c r="L455" i="11"/>
  <c r="L454" i="11"/>
  <c r="L453" i="11"/>
  <c r="L452" i="11"/>
  <c r="L451" i="11"/>
  <c r="L450" i="11"/>
  <c r="L449" i="11"/>
  <c r="L448" i="11"/>
  <c r="L447" i="11"/>
  <c r="L446" i="11"/>
  <c r="L445" i="11"/>
  <c r="L444" i="11"/>
  <c r="L443" i="11"/>
  <c r="L442" i="11"/>
  <c r="L441" i="11"/>
  <c r="L437" i="11"/>
  <c r="L436" i="11"/>
  <c r="L435" i="11"/>
  <c r="L434" i="11"/>
  <c r="L433" i="11"/>
  <c r="L432" i="11"/>
  <c r="L431" i="11"/>
  <c r="L430" i="11"/>
  <c r="L429" i="11"/>
  <c r="L428" i="11"/>
  <c r="L427" i="11"/>
  <c r="L426" i="11"/>
  <c r="L425" i="11"/>
  <c r="L424" i="11"/>
  <c r="L423" i="11"/>
  <c r="L401" i="11"/>
  <c r="L400" i="11"/>
  <c r="L399" i="11"/>
  <c r="L398" i="11"/>
  <c r="L397" i="11"/>
  <c r="L396" i="11"/>
  <c r="L395" i="11"/>
  <c r="L394" i="11"/>
  <c r="L393" i="11"/>
  <c r="L392" i="11"/>
  <c r="L391" i="11"/>
  <c r="L383" i="11"/>
  <c r="L382" i="11"/>
  <c r="L381" i="11"/>
  <c r="L380" i="11"/>
  <c r="L379" i="11"/>
  <c r="L378" i="11"/>
  <c r="L374" i="11"/>
  <c r="L373" i="11"/>
  <c r="L372" i="11"/>
  <c r="L371" i="11"/>
  <c r="L367" i="11"/>
  <c r="L366" i="11"/>
  <c r="L365" i="11"/>
  <c r="L364" i="11"/>
  <c r="L345" i="11"/>
  <c r="L342" i="11"/>
  <c r="L341" i="11"/>
  <c r="L340" i="11"/>
  <c r="L339" i="11"/>
  <c r="L338" i="11"/>
  <c r="L334" i="11"/>
  <c r="L333" i="11"/>
  <c r="L332" i="11"/>
  <c r="L331" i="11"/>
  <c r="L330" i="11"/>
  <c r="L326" i="11"/>
  <c r="L325" i="11"/>
  <c r="L324" i="11"/>
  <c r="L323" i="11"/>
  <c r="L322" i="11"/>
  <c r="L318" i="11"/>
  <c r="L317" i="11"/>
  <c r="L316" i="11"/>
  <c r="L315" i="11"/>
  <c r="L314" i="11"/>
  <c r="L310" i="11"/>
  <c r="L309" i="11"/>
  <c r="L308" i="11"/>
  <c r="L307" i="11"/>
  <c r="L306" i="11"/>
  <c r="L284" i="11"/>
  <c r="L283" i="11"/>
  <c r="L282" i="11"/>
  <c r="L281" i="11"/>
  <c r="L280" i="11"/>
  <c r="L276" i="11"/>
  <c r="L275" i="11"/>
  <c r="L274" i="11"/>
  <c r="L273" i="11"/>
  <c r="L272" i="11"/>
  <c r="L264" i="11"/>
  <c r="L263" i="11"/>
  <c r="L260" i="11"/>
  <c r="L259" i="11"/>
  <c r="L258" i="11"/>
  <c r="L257" i="11"/>
  <c r="L256" i="11"/>
  <c r="L252" i="11"/>
  <c r="L251" i="11"/>
  <c r="L250" i="11"/>
  <c r="L249" i="11"/>
  <c r="L248" i="11"/>
  <c r="L227" i="11"/>
  <c r="L226" i="11"/>
  <c r="L225" i="11"/>
  <c r="L224" i="11"/>
  <c r="L223" i="11"/>
  <c r="L219" i="11"/>
  <c r="L218" i="11"/>
  <c r="L217" i="11"/>
  <c r="L216" i="11"/>
  <c r="L215" i="11"/>
  <c r="L211" i="11"/>
  <c r="L210" i="11"/>
  <c r="L209" i="11"/>
  <c r="L208" i="11"/>
  <c r="L207" i="11"/>
  <c r="L203" i="11"/>
  <c r="L202" i="11"/>
  <c r="L201" i="11"/>
  <c r="L200" i="11"/>
  <c r="L199" i="11"/>
  <c r="L195" i="11"/>
  <c r="L194" i="11"/>
  <c r="L193" i="11"/>
  <c r="L192" i="11"/>
  <c r="L191" i="11"/>
  <c r="L169" i="11"/>
  <c r="L168" i="11"/>
  <c r="L167" i="11"/>
  <c r="L166" i="11"/>
  <c r="L165" i="11"/>
  <c r="L161" i="11"/>
  <c r="L160" i="11"/>
  <c r="L159" i="11"/>
  <c r="L158" i="11"/>
  <c r="L157" i="11"/>
  <c r="L153" i="11"/>
  <c r="L152" i="11"/>
  <c r="L151" i="11"/>
  <c r="L150" i="11"/>
  <c r="L149" i="11"/>
  <c r="L145" i="11"/>
  <c r="L144" i="11"/>
  <c r="L143" i="11"/>
  <c r="L142" i="11"/>
  <c r="L141" i="11"/>
  <c r="L132" i="11"/>
  <c r="L131" i="11"/>
  <c r="L112" i="11"/>
  <c r="L111" i="11"/>
  <c r="L110" i="11"/>
  <c r="L109" i="11"/>
  <c r="L105" i="11"/>
  <c r="L104" i="11"/>
  <c r="L103" i="11"/>
  <c r="L102" i="11"/>
  <c r="L98" i="11"/>
  <c r="L97" i="11"/>
  <c r="L96" i="11"/>
  <c r="L95" i="11"/>
  <c r="L91" i="11"/>
  <c r="L90" i="11"/>
  <c r="L89" i="11"/>
  <c r="L88" i="11"/>
  <c r="L84" i="11"/>
  <c r="L83" i="11"/>
  <c r="L82" i="11"/>
  <c r="L81" i="11"/>
  <c r="L77" i="11"/>
  <c r="L76" i="11"/>
  <c r="L75" i="11"/>
  <c r="L74" i="11"/>
  <c r="L54" i="11"/>
  <c r="L53" i="11"/>
  <c r="L52" i="11"/>
  <c r="L51" i="11"/>
  <c r="L50" i="11"/>
  <c r="L46" i="11"/>
  <c r="L45" i="11"/>
  <c r="L44" i="11"/>
  <c r="L43" i="11"/>
  <c r="L42" i="11"/>
  <c r="L38" i="11"/>
  <c r="L37" i="11"/>
  <c r="L36" i="11"/>
  <c r="L35" i="11"/>
  <c r="L34" i="11"/>
  <c r="L30" i="11"/>
  <c r="L29" i="11"/>
  <c r="L28" i="11"/>
  <c r="L27" i="11"/>
  <c r="L26" i="11"/>
  <c r="L22" i="11"/>
  <c r="L21" i="11"/>
  <c r="L20" i="11"/>
  <c r="L19" i="11"/>
  <c r="L18" i="11"/>
  <c r="J516" i="11"/>
  <c r="J514" i="11"/>
  <c r="J513" i="11"/>
  <c r="J510" i="11"/>
  <c r="J509" i="11"/>
  <c r="J508" i="11"/>
  <c r="J502" i="11"/>
  <c r="J501" i="11"/>
  <c r="J497" i="11"/>
  <c r="J496" i="11"/>
  <c r="J495" i="11"/>
  <c r="J494" i="11"/>
  <c r="J490" i="11"/>
  <c r="J489" i="11"/>
  <c r="J488" i="11"/>
  <c r="J484" i="11"/>
  <c r="J483" i="11"/>
  <c r="J482" i="11"/>
  <c r="J481" i="11"/>
  <c r="J480" i="11"/>
  <c r="J459" i="11"/>
  <c r="J458" i="11"/>
  <c r="J457" i="11"/>
  <c r="J456" i="11"/>
  <c r="J455" i="11"/>
  <c r="J454" i="11"/>
  <c r="J453" i="11"/>
  <c r="J452" i="11"/>
  <c r="J451" i="11"/>
  <c r="J450" i="11"/>
  <c r="J449" i="11"/>
  <c r="J448" i="11"/>
  <c r="J447" i="11"/>
  <c r="J446" i="11"/>
  <c r="J445" i="11"/>
  <c r="J444" i="11"/>
  <c r="J443" i="11"/>
  <c r="J442" i="11"/>
  <c r="J441" i="11"/>
  <c r="J437" i="11"/>
  <c r="J436" i="11"/>
  <c r="J435" i="11"/>
  <c r="J434" i="11"/>
  <c r="J433" i="11"/>
  <c r="J432" i="11"/>
  <c r="J431" i="11"/>
  <c r="J430" i="11"/>
  <c r="J429" i="11"/>
  <c r="J428" i="11"/>
  <c r="J427" i="11"/>
  <c r="J426" i="11"/>
  <c r="J425" i="11"/>
  <c r="J424" i="11"/>
  <c r="J423" i="11"/>
  <c r="J401" i="11"/>
  <c r="J400" i="11"/>
  <c r="J399" i="11"/>
  <c r="J398" i="11"/>
  <c r="J397" i="11"/>
  <c r="J396" i="11"/>
  <c r="J395" i="11"/>
  <c r="J394" i="11"/>
  <c r="J393" i="11"/>
  <c r="J392" i="11"/>
  <c r="J391" i="11"/>
  <c r="J383" i="11"/>
  <c r="J382" i="11"/>
  <c r="J381" i="11"/>
  <c r="J380" i="11"/>
  <c r="J379" i="11"/>
  <c r="J378" i="11"/>
  <c r="J374" i="11"/>
  <c r="J373" i="11"/>
  <c r="J372" i="11"/>
  <c r="J371" i="11"/>
  <c r="J367" i="11"/>
  <c r="J366" i="11"/>
  <c r="J365" i="11"/>
  <c r="J364" i="11"/>
  <c r="J345" i="11"/>
  <c r="J342" i="11"/>
  <c r="J341" i="11"/>
  <c r="J340" i="11"/>
  <c r="J339" i="11"/>
  <c r="J338" i="11"/>
  <c r="J334" i="11"/>
  <c r="J333" i="11"/>
  <c r="J332" i="11"/>
  <c r="J331" i="11"/>
  <c r="J330" i="11"/>
  <c r="J326" i="11"/>
  <c r="J325" i="11"/>
  <c r="J324" i="11"/>
  <c r="J323" i="11"/>
  <c r="J322" i="11"/>
  <c r="J318" i="11"/>
  <c r="J317" i="11"/>
  <c r="J316" i="11"/>
  <c r="J315" i="11"/>
  <c r="J314" i="11"/>
  <c r="J310" i="11"/>
  <c r="J309" i="11"/>
  <c r="J308" i="11"/>
  <c r="J307" i="11"/>
  <c r="J306" i="11"/>
  <c r="J284" i="11"/>
  <c r="J283" i="11"/>
  <c r="J282" i="11"/>
  <c r="J281" i="11"/>
  <c r="J280" i="11"/>
  <c r="J276" i="11"/>
  <c r="J275" i="11"/>
  <c r="J274" i="11"/>
  <c r="J273" i="11"/>
  <c r="J272" i="11"/>
  <c r="J264" i="11"/>
  <c r="J263" i="11"/>
  <c r="J260" i="11"/>
  <c r="J259" i="11"/>
  <c r="J258" i="11"/>
  <c r="J257" i="11"/>
  <c r="J256" i="11"/>
  <c r="J252" i="11"/>
  <c r="J251" i="11"/>
  <c r="J250" i="11"/>
  <c r="J249" i="11"/>
  <c r="J248" i="11"/>
  <c r="J227" i="11"/>
  <c r="J226" i="11"/>
  <c r="J225" i="11"/>
  <c r="J224" i="11"/>
  <c r="J223" i="11"/>
  <c r="J219" i="11"/>
  <c r="J218" i="11"/>
  <c r="J217" i="11"/>
  <c r="J216" i="11"/>
  <c r="J215" i="11"/>
  <c r="J211" i="11"/>
  <c r="J210" i="11"/>
  <c r="J209" i="11"/>
  <c r="J208" i="11"/>
  <c r="J207" i="11"/>
  <c r="J203" i="11"/>
  <c r="J202" i="11"/>
  <c r="J201" i="11"/>
  <c r="J200" i="11"/>
  <c r="J199" i="11"/>
  <c r="J195" i="11"/>
  <c r="J194" i="11"/>
  <c r="J193" i="11"/>
  <c r="J192" i="11"/>
  <c r="J191" i="11"/>
  <c r="J169" i="11"/>
  <c r="J168" i="11"/>
  <c r="J167" i="11"/>
  <c r="J166" i="11"/>
  <c r="J165" i="11"/>
  <c r="J161" i="11"/>
  <c r="J160" i="11"/>
  <c r="J159" i="11"/>
  <c r="J158" i="11"/>
  <c r="J157" i="11"/>
  <c r="J153" i="11"/>
  <c r="J152" i="11"/>
  <c r="J151" i="11"/>
  <c r="J150" i="11"/>
  <c r="J149" i="11"/>
  <c r="J145" i="11"/>
  <c r="J144" i="11"/>
  <c r="J143" i="11"/>
  <c r="J142" i="11"/>
  <c r="J141" i="11"/>
  <c r="J132" i="11"/>
  <c r="J131" i="11"/>
  <c r="J112" i="11"/>
  <c r="J111" i="11"/>
  <c r="J110" i="11"/>
  <c r="J109" i="11"/>
  <c r="J105" i="11"/>
  <c r="J104" i="11"/>
  <c r="J103" i="11"/>
  <c r="J102" i="11"/>
  <c r="J98" i="11"/>
  <c r="J97" i="11"/>
  <c r="J96" i="11"/>
  <c r="J95" i="11"/>
  <c r="J91" i="11"/>
  <c r="J90" i="11"/>
  <c r="J89" i="11"/>
  <c r="J88" i="11"/>
  <c r="J84" i="11"/>
  <c r="J83" i="11"/>
  <c r="J82" i="11"/>
  <c r="J81" i="11"/>
  <c r="J77" i="11"/>
  <c r="J76" i="11"/>
  <c r="J75" i="11"/>
  <c r="J74" i="11"/>
  <c r="J54" i="11"/>
  <c r="J53" i="11"/>
  <c r="J52" i="11"/>
  <c r="J51" i="11"/>
  <c r="J50" i="11"/>
  <c r="J46" i="11"/>
  <c r="J45" i="11"/>
  <c r="J44" i="11"/>
  <c r="J43" i="11"/>
  <c r="J42" i="11"/>
  <c r="J38" i="11"/>
  <c r="J37" i="11"/>
  <c r="J36" i="11"/>
  <c r="J35" i="11"/>
  <c r="J34" i="11"/>
  <c r="J30" i="11"/>
  <c r="J29" i="11"/>
  <c r="J28" i="11"/>
  <c r="J27" i="11"/>
  <c r="J26" i="11"/>
  <c r="J22" i="11"/>
  <c r="J21" i="11"/>
  <c r="J20" i="11"/>
  <c r="J19" i="11"/>
  <c r="J18" i="11"/>
  <c r="H516" i="11"/>
  <c r="H514" i="11"/>
  <c r="H513" i="11"/>
  <c r="H510" i="11"/>
  <c r="H509" i="11"/>
  <c r="H508" i="11"/>
  <c r="H502" i="11"/>
  <c r="H501" i="11"/>
  <c r="H497" i="11"/>
  <c r="H496" i="11"/>
  <c r="H495" i="11"/>
  <c r="H494" i="11"/>
  <c r="H490" i="11"/>
  <c r="H489" i="11"/>
  <c r="H488" i="11"/>
  <c r="H484" i="11"/>
  <c r="H483" i="11"/>
  <c r="H482" i="11"/>
  <c r="H481" i="11"/>
  <c r="H480" i="11"/>
  <c r="H459" i="11"/>
  <c r="H458" i="11"/>
  <c r="H457" i="11"/>
  <c r="H456" i="11"/>
  <c r="H455" i="11"/>
  <c r="H454" i="11"/>
  <c r="H453" i="11"/>
  <c r="H452" i="11"/>
  <c r="H451" i="11"/>
  <c r="H450" i="11"/>
  <c r="H449" i="11"/>
  <c r="H448" i="11"/>
  <c r="H447" i="11"/>
  <c r="H446" i="11"/>
  <c r="H445" i="11"/>
  <c r="H444" i="11"/>
  <c r="H443" i="11"/>
  <c r="H442" i="11"/>
  <c r="H441" i="11"/>
  <c r="H437" i="11"/>
  <c r="H436" i="11"/>
  <c r="H435" i="11"/>
  <c r="H434" i="11"/>
  <c r="H433" i="11"/>
  <c r="H432" i="11"/>
  <c r="H431" i="11"/>
  <c r="H430" i="11"/>
  <c r="H429" i="11"/>
  <c r="H428" i="11"/>
  <c r="H427" i="11"/>
  <c r="H426" i="11"/>
  <c r="H425" i="11"/>
  <c r="H424" i="11"/>
  <c r="H423" i="11"/>
  <c r="H401" i="11"/>
  <c r="H400" i="11"/>
  <c r="H399" i="11"/>
  <c r="H398" i="11"/>
  <c r="H397" i="11"/>
  <c r="H396" i="11"/>
  <c r="H395" i="11"/>
  <c r="H394" i="11"/>
  <c r="H393" i="11"/>
  <c r="H392" i="11"/>
  <c r="H391" i="11"/>
  <c r="H383" i="11"/>
  <c r="H382" i="11"/>
  <c r="H381" i="11"/>
  <c r="H380" i="11"/>
  <c r="H379" i="11"/>
  <c r="H378" i="11"/>
  <c r="H374" i="11"/>
  <c r="H373" i="11"/>
  <c r="H372" i="11"/>
  <c r="H371" i="11"/>
  <c r="H367" i="11"/>
  <c r="H366" i="11"/>
  <c r="H365" i="11"/>
  <c r="H364" i="11"/>
  <c r="H345" i="11"/>
  <c r="H342" i="11"/>
  <c r="H341" i="11"/>
  <c r="H340" i="11"/>
  <c r="H339" i="11"/>
  <c r="H338" i="11"/>
  <c r="H334" i="11"/>
  <c r="H333" i="11"/>
  <c r="H332" i="11"/>
  <c r="H331" i="11"/>
  <c r="H330" i="11"/>
  <c r="H326" i="11"/>
  <c r="H325" i="11"/>
  <c r="H324" i="11"/>
  <c r="H323" i="11"/>
  <c r="H322" i="11"/>
  <c r="H318" i="11"/>
  <c r="H317" i="11"/>
  <c r="H316" i="11"/>
  <c r="H315" i="11"/>
  <c r="H314" i="11"/>
  <c r="H310" i="11"/>
  <c r="H309" i="11"/>
  <c r="H308" i="11"/>
  <c r="H307" i="11"/>
  <c r="H306" i="11"/>
  <c r="H284" i="11"/>
  <c r="H283" i="11"/>
  <c r="H282" i="11"/>
  <c r="H281" i="11"/>
  <c r="H280" i="11"/>
  <c r="H276" i="11"/>
  <c r="H275" i="11"/>
  <c r="H274" i="11"/>
  <c r="H273" i="11"/>
  <c r="H272" i="11"/>
  <c r="H264" i="11"/>
  <c r="H263" i="11"/>
  <c r="H260" i="11"/>
  <c r="H259" i="11"/>
  <c r="H258" i="11"/>
  <c r="H257" i="11"/>
  <c r="H256" i="11"/>
  <c r="H252" i="11"/>
  <c r="H251" i="11"/>
  <c r="H250" i="11"/>
  <c r="H249" i="11"/>
  <c r="H248" i="11"/>
  <c r="H227" i="11"/>
  <c r="H226" i="11"/>
  <c r="H225" i="11"/>
  <c r="H224" i="11"/>
  <c r="H223" i="11"/>
  <c r="H219" i="11"/>
  <c r="H218" i="11"/>
  <c r="H217" i="11"/>
  <c r="H216" i="11"/>
  <c r="H215" i="11"/>
  <c r="H211" i="11"/>
  <c r="H210" i="11"/>
  <c r="H209" i="11"/>
  <c r="H208" i="11"/>
  <c r="H207" i="11"/>
  <c r="H203" i="11"/>
  <c r="H202" i="11"/>
  <c r="H201" i="11"/>
  <c r="H200" i="11"/>
  <c r="H199" i="11"/>
  <c r="H195" i="11"/>
  <c r="H194" i="11"/>
  <c r="H193" i="11"/>
  <c r="H192" i="11"/>
  <c r="H191" i="11"/>
  <c r="H169" i="11"/>
  <c r="H168" i="11"/>
  <c r="H167" i="11"/>
  <c r="H166" i="11"/>
  <c r="H165" i="11"/>
  <c r="H161" i="11"/>
  <c r="H160" i="11"/>
  <c r="H159" i="11"/>
  <c r="H158" i="11"/>
  <c r="H157" i="11"/>
  <c r="H153" i="11"/>
  <c r="H152" i="11"/>
  <c r="H151" i="11"/>
  <c r="H150" i="11"/>
  <c r="H149" i="11"/>
  <c r="H145" i="11"/>
  <c r="H144" i="11"/>
  <c r="H143" i="11"/>
  <c r="H142" i="11"/>
  <c r="H141" i="11"/>
  <c r="H132" i="11"/>
  <c r="H131" i="11"/>
  <c r="H112" i="11"/>
  <c r="H111" i="11"/>
  <c r="H110" i="11"/>
  <c r="H109" i="11"/>
  <c r="H105" i="11"/>
  <c r="H104" i="11"/>
  <c r="H103" i="11"/>
  <c r="H102" i="11"/>
  <c r="H98" i="11"/>
  <c r="H97" i="11"/>
  <c r="H96" i="11"/>
  <c r="H95" i="11"/>
  <c r="H91" i="11"/>
  <c r="H90" i="11"/>
  <c r="H89" i="11"/>
  <c r="H88" i="11"/>
  <c r="H84" i="11"/>
  <c r="H83" i="11"/>
  <c r="H82" i="11"/>
  <c r="H81" i="11"/>
  <c r="H77" i="11"/>
  <c r="H76" i="11"/>
  <c r="H75" i="11"/>
  <c r="H74" i="11"/>
  <c r="H54" i="11"/>
  <c r="H53" i="11"/>
  <c r="H52" i="11"/>
  <c r="H51" i="11"/>
  <c r="H50" i="11"/>
  <c r="H46" i="11"/>
  <c r="H45" i="11"/>
  <c r="H44" i="11"/>
  <c r="H43" i="11"/>
  <c r="H42" i="11"/>
  <c r="H38" i="11"/>
  <c r="H37" i="11"/>
  <c r="H36" i="11"/>
  <c r="H35" i="11"/>
  <c r="H34" i="11"/>
  <c r="H30" i="11"/>
  <c r="H29" i="11"/>
  <c r="H28" i="11"/>
  <c r="H27" i="11"/>
  <c r="H26" i="11"/>
  <c r="H22" i="11"/>
  <c r="H21" i="11"/>
  <c r="H20" i="11"/>
  <c r="H19" i="11"/>
  <c r="H18" i="11"/>
  <c r="P580" i="11"/>
  <c r="A580" i="11"/>
  <c r="A537" i="1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P527" i="11"/>
  <c r="O527" i="11"/>
  <c r="F527" i="11"/>
  <c r="P526" i="11"/>
  <c r="O526" i="11"/>
  <c r="F526" i="11"/>
  <c r="A526" i="11"/>
  <c r="P525" i="11"/>
  <c r="O525" i="11"/>
  <c r="F525" i="11"/>
  <c r="P524" i="11"/>
  <c r="F524" i="11"/>
  <c r="E524" i="11"/>
  <c r="A524" i="11"/>
  <c r="G523" i="11"/>
  <c r="A523" i="11"/>
  <c r="P522" i="11"/>
  <c r="A522" i="11"/>
  <c r="P517" i="11"/>
  <c r="A479" i="1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P469" i="11"/>
  <c r="O469" i="11"/>
  <c r="F469" i="11"/>
  <c r="P468" i="11"/>
  <c r="O468" i="11"/>
  <c r="F468" i="11"/>
  <c r="A468" i="11"/>
  <c r="P467" i="11"/>
  <c r="O467" i="11"/>
  <c r="F467" i="11"/>
  <c r="P466" i="11"/>
  <c r="F466" i="11"/>
  <c r="E466" i="11"/>
  <c r="A466" i="11"/>
  <c r="G465" i="11"/>
  <c r="A465" i="11"/>
  <c r="P464" i="11"/>
  <c r="A464" i="11"/>
  <c r="A421" i="1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P411" i="11"/>
  <c r="O411" i="11"/>
  <c r="F411" i="11"/>
  <c r="P410" i="11"/>
  <c r="O410" i="11"/>
  <c r="F410" i="11"/>
  <c r="A410" i="11"/>
  <c r="P409" i="11"/>
  <c r="O409" i="11"/>
  <c r="F409" i="11"/>
  <c r="P408" i="11"/>
  <c r="F408" i="11"/>
  <c r="E408" i="11"/>
  <c r="A408" i="11"/>
  <c r="G407" i="11"/>
  <c r="A407" i="11"/>
  <c r="P406" i="11"/>
  <c r="A406" i="11"/>
  <c r="A363" i="1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P353" i="11"/>
  <c r="O353" i="11"/>
  <c r="F353" i="11"/>
  <c r="P352" i="11"/>
  <c r="O352" i="11"/>
  <c r="F352" i="11"/>
  <c r="A352" i="11"/>
  <c r="P351" i="11"/>
  <c r="O351" i="11"/>
  <c r="F351" i="11"/>
  <c r="P350" i="11"/>
  <c r="F350" i="11"/>
  <c r="E350" i="11"/>
  <c r="A350" i="11"/>
  <c r="G349" i="11"/>
  <c r="A349" i="11"/>
  <c r="P348" i="11"/>
  <c r="A348" i="11"/>
  <c r="A305" i="1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P295" i="11"/>
  <c r="O295" i="11"/>
  <c r="F295" i="11"/>
  <c r="P294" i="11"/>
  <c r="O294" i="11"/>
  <c r="F294" i="11"/>
  <c r="A294" i="11"/>
  <c r="P293" i="11"/>
  <c r="O293" i="11"/>
  <c r="F293" i="11"/>
  <c r="P292" i="11"/>
  <c r="F292" i="11"/>
  <c r="E292" i="11"/>
  <c r="A292" i="11"/>
  <c r="G291" i="11"/>
  <c r="A291" i="11"/>
  <c r="P290" i="11"/>
  <c r="A290" i="11"/>
  <c r="A247" i="1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P237" i="11"/>
  <c r="O237" i="11"/>
  <c r="F237" i="11"/>
  <c r="P236" i="11"/>
  <c r="O236" i="11"/>
  <c r="F236" i="11"/>
  <c r="A236" i="11"/>
  <c r="P235" i="11"/>
  <c r="O235" i="11"/>
  <c r="F235" i="11"/>
  <c r="P234" i="11"/>
  <c r="F234" i="11"/>
  <c r="E234" i="11"/>
  <c r="A234" i="11"/>
  <c r="G233" i="11"/>
  <c r="A233" i="11"/>
  <c r="P232" i="11"/>
  <c r="A232" i="11"/>
  <c r="A189" i="1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P179" i="11"/>
  <c r="O179" i="11"/>
  <c r="F179" i="11"/>
  <c r="P178" i="11"/>
  <c r="O178" i="11"/>
  <c r="F178" i="11"/>
  <c r="A178" i="11"/>
  <c r="P177" i="11"/>
  <c r="O177" i="11"/>
  <c r="F177" i="11"/>
  <c r="P176" i="11"/>
  <c r="F176" i="11"/>
  <c r="E176" i="11"/>
  <c r="A176" i="11"/>
  <c r="G175" i="11"/>
  <c r="A175" i="11"/>
  <c r="P174" i="11"/>
  <c r="A174" i="11"/>
  <c r="A131" i="1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P121" i="11"/>
  <c r="O121" i="11"/>
  <c r="F121" i="11"/>
  <c r="P120" i="11"/>
  <c r="O120" i="11"/>
  <c r="F120" i="11"/>
  <c r="A120" i="11"/>
  <c r="P119" i="11"/>
  <c r="O119" i="11"/>
  <c r="F119" i="11"/>
  <c r="P118" i="11"/>
  <c r="F118" i="11"/>
  <c r="E118" i="11"/>
  <c r="A118" i="11"/>
  <c r="G117" i="11"/>
  <c r="A117" i="11"/>
  <c r="P116" i="11"/>
  <c r="A116" i="11"/>
  <c r="A73" i="1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P63" i="11"/>
  <c r="O63" i="11"/>
  <c r="F63" i="11"/>
  <c r="P62" i="11"/>
  <c r="O62" i="11"/>
  <c r="F62" i="11"/>
  <c r="A62" i="11"/>
  <c r="P61" i="11"/>
  <c r="O61" i="11"/>
  <c r="F61" i="11"/>
  <c r="P60" i="11"/>
  <c r="F60" i="11"/>
  <c r="E60" i="11"/>
  <c r="A60" i="11"/>
  <c r="G59" i="11"/>
  <c r="A59" i="11"/>
  <c r="A15" i="1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F26" i="11" l="1"/>
  <c r="F508" i="11"/>
  <c r="F495" i="11"/>
  <c r="F513" i="11"/>
  <c r="F509" i="11"/>
  <c r="F496" i="11"/>
  <c r="F483" i="11"/>
  <c r="F501" i="11"/>
  <c r="F494" i="11"/>
  <c r="F502" i="11"/>
  <c r="F489" i="11"/>
  <c r="F488" i="11"/>
  <c r="F457" i="11"/>
  <c r="F453" i="11"/>
  <c r="F449" i="11"/>
  <c r="F445" i="11"/>
  <c r="F433" i="11"/>
  <c r="F425" i="11"/>
  <c r="F398" i="11"/>
  <c r="F516" i="11"/>
  <c r="F510" i="11"/>
  <c r="F497" i="11"/>
  <c r="F450" i="11"/>
  <c r="F423" i="11"/>
  <c r="F395" i="11"/>
  <c r="F490" i="11"/>
  <c r="F459" i="11"/>
  <c r="F456" i="11"/>
  <c r="F443" i="11"/>
  <c r="F436" i="11"/>
  <c r="F514" i="11"/>
  <c r="F455" i="11"/>
  <c r="F452" i="11"/>
  <c r="F442" i="11"/>
  <c r="F435" i="11"/>
  <c r="F428" i="11"/>
  <c r="F400" i="11"/>
  <c r="F393" i="11"/>
  <c r="F381" i="11"/>
  <c r="F379" i="11"/>
  <c r="F366" i="11"/>
  <c r="F444" i="11"/>
  <c r="F424" i="11"/>
  <c r="F399" i="11"/>
  <c r="F383" i="11"/>
  <c r="F333" i="11"/>
  <c r="F454" i="11"/>
  <c r="F427" i="11"/>
  <c r="F364" i="11"/>
  <c r="F334" i="11"/>
  <c r="F330" i="11"/>
  <c r="F339" i="11"/>
  <c r="F317" i="11"/>
  <c r="F307" i="11"/>
  <c r="F249" i="11"/>
  <c r="F218" i="11"/>
  <c r="F201" i="11"/>
  <c r="F374" i="11"/>
  <c r="F342" i="11"/>
  <c r="F315" i="11"/>
  <c r="F281" i="11"/>
  <c r="F365" i="11"/>
  <c r="F323" i="11"/>
  <c r="F318" i="11"/>
  <c r="F274" i="11"/>
  <c r="F306" i="11"/>
  <c r="F248" i="11"/>
  <c r="F219" i="11"/>
  <c r="F340" i="11"/>
  <c r="F338" i="11"/>
  <c r="F324" i="11"/>
  <c r="F310" i="11"/>
  <c r="F264" i="11"/>
  <c r="F308" i="11"/>
  <c r="F280" i="11"/>
  <c r="F260" i="11"/>
  <c r="F226" i="11"/>
  <c r="F345" i="11"/>
  <c r="F391" i="11"/>
  <c r="F378" i="11"/>
  <c r="F199" i="11"/>
  <c r="F151" i="11"/>
  <c r="F160" i="11"/>
  <c r="F225" i="11"/>
  <c r="F192" i="11"/>
  <c r="F166" i="11"/>
  <c r="F158" i="11"/>
  <c r="F208" i="11"/>
  <c r="F132" i="11"/>
  <c r="F200" i="11"/>
  <c r="F159" i="11"/>
  <c r="F111" i="11"/>
  <c r="F81" i="11"/>
  <c r="F30" i="11"/>
  <c r="F224" i="11"/>
  <c r="F157" i="11"/>
  <c r="F153" i="11"/>
  <c r="F103" i="11"/>
  <c r="F77" i="11"/>
  <c r="F52" i="11"/>
  <c r="F35" i="11"/>
  <c r="F22" i="11"/>
  <c r="F18" i="11"/>
  <c r="F256" i="11"/>
  <c r="F207" i="11"/>
  <c r="F194" i="11"/>
  <c r="F150" i="11"/>
  <c r="F104" i="11"/>
  <c r="F91" i="11"/>
  <c r="F36" i="11"/>
  <c r="F19" i="11"/>
  <c r="F149" i="11"/>
  <c r="F96" i="11"/>
  <c r="F83" i="11"/>
  <c r="F45" i="11"/>
  <c r="F28" i="11"/>
  <c r="F44" i="11"/>
  <c r="F82" i="11"/>
  <c r="F29" i="11"/>
  <c r="F46" i="11"/>
  <c r="F309" i="11"/>
  <c r="F131" i="11"/>
  <c r="F97" i="11"/>
  <c r="F20" i="11"/>
  <c r="F195" i="11"/>
  <c r="F169" i="11"/>
  <c r="F110" i="11"/>
  <c r="F84" i="11"/>
  <c r="F75" i="11"/>
  <c r="F34" i="11"/>
  <c r="F42" i="11"/>
  <c r="F112" i="11"/>
  <c r="F50" i="11"/>
  <c r="F27" i="11"/>
  <c r="F88" i="11"/>
  <c r="F95" i="11"/>
  <c r="F102" i="11"/>
  <c r="F74" i="11"/>
  <c r="F37" i="11"/>
  <c r="F90" i="11"/>
  <c r="F89" i="11"/>
  <c r="F53" i="11"/>
  <c r="F109" i="11"/>
  <c r="F43" i="11"/>
  <c r="F51" i="11"/>
  <c r="F54" i="11"/>
  <c r="F105" i="11"/>
  <c r="F322" i="11"/>
  <c r="F141" i="11"/>
  <c r="F272" i="11"/>
  <c r="F38" i="11"/>
  <c r="F98" i="11"/>
  <c r="F21" i="11"/>
  <c r="F76" i="11"/>
  <c r="F314" i="11"/>
  <c r="F142" i="11"/>
  <c r="F223" i="11"/>
  <c r="F371" i="11"/>
  <c r="F165" i="11"/>
  <c r="F191" i="11"/>
  <c r="F273" i="11"/>
  <c r="F216" i="11"/>
  <c r="F258" i="11"/>
  <c r="F331" i="11"/>
  <c r="F250" i="11"/>
  <c r="F316" i="11"/>
  <c r="F257" i="11"/>
  <c r="F332" i="11"/>
  <c r="F143" i="11"/>
  <c r="F372" i="11"/>
  <c r="F152" i="11"/>
  <c r="F193" i="11"/>
  <c r="F482" i="11"/>
  <c r="F380" i="11"/>
  <c r="F167" i="11"/>
  <c r="F283" i="11"/>
  <c r="F168" i="11"/>
  <c r="F209" i="11"/>
  <c r="F325" i="11"/>
  <c r="F373" i="11"/>
  <c r="F263" i="11"/>
  <c r="F144" i="11"/>
  <c r="F202" i="11"/>
  <c r="F382" i="11"/>
  <c r="F431" i="11"/>
  <c r="F217" i="11"/>
  <c r="F275" i="11"/>
  <c r="F251" i="11"/>
  <c r="F341" i="11"/>
  <c r="F326" i="11"/>
  <c r="F215" i="11"/>
  <c r="F259" i="11"/>
  <c r="F252" i="11"/>
  <c r="F392" i="11"/>
  <c r="F284" i="11"/>
  <c r="F227" i="11"/>
  <c r="F145" i="11"/>
  <c r="F282" i="11"/>
  <c r="F210" i="11"/>
  <c r="F276" i="11"/>
  <c r="F161" i="11"/>
  <c r="F203" i="11"/>
  <c r="F211" i="11"/>
  <c r="F430" i="11"/>
  <c r="F397" i="11"/>
  <c r="F432" i="11"/>
  <c r="F447" i="11"/>
  <c r="F451" i="11"/>
  <c r="F367" i="11"/>
  <c r="F401" i="11"/>
  <c r="F426" i="11"/>
  <c r="F396" i="11"/>
  <c r="F394" i="11"/>
  <c r="F429" i="11"/>
  <c r="F434" i="11"/>
  <c r="F458" i="11"/>
  <c r="F437" i="11"/>
  <c r="F441" i="11"/>
  <c r="F446" i="11"/>
  <c r="F484" i="11"/>
  <c r="F448" i="11"/>
  <c r="R228" i="11" l="1"/>
  <c r="R31" i="11"/>
  <c r="P150" i="11"/>
  <c r="P53" i="11"/>
  <c r="J55" i="11"/>
  <c r="P166" i="11"/>
  <c r="N99" i="11"/>
  <c r="L253" i="11"/>
  <c r="R146" i="11"/>
  <c r="R261" i="11"/>
  <c r="N277" i="11"/>
  <c r="L277" i="11"/>
  <c r="R47" i="11"/>
  <c r="P252" i="11"/>
  <c r="R375" i="11"/>
  <c r="N261" i="11"/>
  <c r="J212" i="11"/>
  <c r="H23" i="11"/>
  <c r="R327" i="11"/>
  <c r="R106" i="11"/>
  <c r="P81" i="11"/>
  <c r="N285" i="11"/>
  <c r="P306" i="11"/>
  <c r="P383" i="11"/>
  <c r="H261" i="11"/>
  <c r="L228" i="11"/>
  <c r="H31" i="11"/>
  <c r="R39" i="11"/>
  <c r="R92" i="11"/>
  <c r="J343" i="11"/>
  <c r="L518" i="11"/>
  <c r="R319" i="11"/>
  <c r="N47" i="11"/>
  <c r="P502" i="11"/>
  <c r="N212" i="11"/>
  <c r="N170" i="11"/>
  <c r="L311" i="11"/>
  <c r="R23" i="11"/>
  <c r="N31" i="11"/>
  <c r="N78" i="11"/>
  <c r="P104" i="11"/>
  <c r="P88" i="11"/>
  <c r="R85" i="11"/>
  <c r="P159" i="11"/>
  <c r="P210" i="11"/>
  <c r="J106" i="11"/>
  <c r="H343" i="11"/>
  <c r="N319" i="11"/>
  <c r="J277" i="11"/>
  <c r="L327" i="11"/>
  <c r="N106" i="11"/>
  <c r="L511" i="11"/>
  <c r="R78" i="11"/>
  <c r="P259" i="11"/>
  <c r="P202" i="11"/>
  <c r="P273" i="11"/>
  <c r="J491" i="11"/>
  <c r="H78" i="11"/>
  <c r="P74" i="11"/>
  <c r="P43" i="11"/>
  <c r="R162" i="11"/>
  <c r="J375" i="11"/>
  <c r="J228" i="11"/>
  <c r="L212" i="11"/>
  <c r="R277" i="11"/>
  <c r="H55" i="11"/>
  <c r="J146" i="11"/>
  <c r="L55" i="11"/>
  <c r="P480" i="11"/>
  <c r="P27" i="11"/>
  <c r="J253" i="11"/>
  <c r="L319" i="11"/>
  <c r="H402" i="11"/>
  <c r="N368" i="11"/>
  <c r="N335" i="11"/>
  <c r="J335" i="11"/>
  <c r="P157" i="11"/>
  <c r="N311" i="11"/>
  <c r="H85" i="11"/>
  <c r="J99" i="11"/>
  <c r="H204" i="11"/>
  <c r="P199" i="11"/>
  <c r="R220" i="11"/>
  <c r="R335" i="11"/>
  <c r="R154" i="11"/>
  <c r="L23" i="11"/>
  <c r="P442" i="11"/>
  <c r="P423" i="11"/>
  <c r="H311" i="11"/>
  <c r="N196" i="11"/>
  <c r="R498" i="11"/>
  <c r="N375" i="11"/>
  <c r="L106" i="11"/>
  <c r="P514" i="11"/>
  <c r="R491" i="11"/>
  <c r="P217" i="11"/>
  <c r="P77" i="11"/>
  <c r="P333" i="11"/>
  <c r="H335" i="11"/>
  <c r="P330" i="11"/>
  <c r="N503" i="11"/>
  <c r="H384" i="11"/>
  <c r="P378" i="11"/>
  <c r="P318" i="11"/>
  <c r="P283" i="11"/>
  <c r="P323" i="11"/>
  <c r="J460" i="11"/>
  <c r="J368" i="11"/>
  <c r="L460" i="11"/>
  <c r="J518" i="11"/>
  <c r="P456" i="11"/>
  <c r="J402" i="11"/>
  <c r="P454" i="11"/>
  <c r="R511" i="11"/>
  <c r="N566" i="11"/>
  <c r="L85" i="11"/>
  <c r="R55" i="11"/>
  <c r="R113" i="11"/>
  <c r="P36" i="11"/>
  <c r="P132" i="11"/>
  <c r="N85" i="11"/>
  <c r="P44" i="11"/>
  <c r="P193" i="11"/>
  <c r="P158" i="11"/>
  <c r="P201" i="11"/>
  <c r="N204" i="11"/>
  <c r="P345" i="11"/>
  <c r="J285" i="11"/>
  <c r="P310" i="11"/>
  <c r="L204" i="11"/>
  <c r="P215" i="11"/>
  <c r="P365" i="11"/>
  <c r="H368" i="11"/>
  <c r="P364" i="11"/>
  <c r="P449" i="11"/>
  <c r="P339" i="11"/>
  <c r="J384" i="11"/>
  <c r="P427" i="11"/>
  <c r="L438" i="11"/>
  <c r="P379" i="11"/>
  <c r="L498" i="11"/>
  <c r="R564" i="11"/>
  <c r="J113" i="11"/>
  <c r="P76" i="11"/>
  <c r="P144" i="11"/>
  <c r="J154" i="11"/>
  <c r="P141" i="11"/>
  <c r="H146" i="11"/>
  <c r="J204" i="11"/>
  <c r="J92" i="11"/>
  <c r="N55" i="11"/>
  <c r="P103" i="11"/>
  <c r="L170" i="11"/>
  <c r="P195" i="11"/>
  <c r="R196" i="11"/>
  <c r="L220" i="11"/>
  <c r="P194" i="11"/>
  <c r="L162" i="11"/>
  <c r="J196" i="11"/>
  <c r="P256" i="11"/>
  <c r="J261" i="11"/>
  <c r="J311" i="11"/>
  <c r="P397" i="11"/>
  <c r="R212" i="11"/>
  <c r="N220" i="11"/>
  <c r="P282" i="11"/>
  <c r="R503" i="11"/>
  <c r="L368" i="11"/>
  <c r="R402" i="11"/>
  <c r="P443" i="11"/>
  <c r="P433" i="11"/>
  <c r="P510" i="11"/>
  <c r="H564" i="11"/>
  <c r="P513" i="11"/>
  <c r="L503" i="11"/>
  <c r="P51" i="11"/>
  <c r="L196" i="11"/>
  <c r="P97" i="11"/>
  <c r="P38" i="11"/>
  <c r="L39" i="11"/>
  <c r="P50" i="11"/>
  <c r="P317" i="11"/>
  <c r="P82" i="11"/>
  <c r="P192" i="11"/>
  <c r="P200" i="11"/>
  <c r="R368" i="11"/>
  <c r="P257" i="11"/>
  <c r="P340" i="11"/>
  <c r="L335" i="11"/>
  <c r="P263" i="11"/>
  <c r="R285" i="11"/>
  <c r="J220" i="11"/>
  <c r="R253" i="11"/>
  <c r="P374" i="11"/>
  <c r="P395" i="11"/>
  <c r="P391" i="11"/>
  <c r="L564" i="11"/>
  <c r="H566" i="11"/>
  <c r="L566" i="11"/>
  <c r="P26" i="11"/>
  <c r="P84" i="11"/>
  <c r="P151" i="11"/>
  <c r="P226" i="11"/>
  <c r="L47" i="11"/>
  <c r="H113" i="11"/>
  <c r="P52" i="11"/>
  <c r="L154" i="11"/>
  <c r="P334" i="11"/>
  <c r="R311" i="11"/>
  <c r="P264" i="11"/>
  <c r="N343" i="11"/>
  <c r="L402" i="11"/>
  <c r="P338" i="11"/>
  <c r="R384" i="11"/>
  <c r="P490" i="11"/>
  <c r="N564" i="11"/>
  <c r="N518" i="11"/>
  <c r="P496" i="11"/>
  <c r="R518" i="11"/>
  <c r="J85" i="11"/>
  <c r="P110" i="11"/>
  <c r="L31" i="11"/>
  <c r="P45" i="11"/>
  <c r="H154" i="11"/>
  <c r="P149" i="11"/>
  <c r="N92" i="11"/>
  <c r="P18" i="11"/>
  <c r="L99" i="11"/>
  <c r="R170" i="11"/>
  <c r="P309" i="11"/>
  <c r="N154" i="11"/>
  <c r="J170" i="11"/>
  <c r="P211" i="11"/>
  <c r="L343" i="11"/>
  <c r="N384" i="11"/>
  <c r="P435" i="11"/>
  <c r="P393" i="11"/>
  <c r="P450" i="11"/>
  <c r="H498" i="11"/>
  <c r="P494" i="11"/>
  <c r="J498" i="11"/>
  <c r="R566" i="11"/>
  <c r="P501" i="11"/>
  <c r="H503" i="11"/>
  <c r="L491" i="11"/>
  <c r="J31" i="11"/>
  <c r="P46" i="11"/>
  <c r="H106" i="11"/>
  <c r="P102" i="11"/>
  <c r="P29" i="11"/>
  <c r="J47" i="11"/>
  <c r="P75" i="11"/>
  <c r="R99" i="11"/>
  <c r="P307" i="11"/>
  <c r="L78" i="11"/>
  <c r="P153" i="11"/>
  <c r="P249" i="11"/>
  <c r="P167" i="11"/>
  <c r="R204" i="11"/>
  <c r="R343" i="11"/>
  <c r="P203" i="11"/>
  <c r="P274" i="11"/>
  <c r="P260" i="11"/>
  <c r="P366" i="11"/>
  <c r="L285" i="11"/>
  <c r="P381" i="11"/>
  <c r="L384" i="11"/>
  <c r="P400" i="11"/>
  <c r="P444" i="11"/>
  <c r="R438" i="11"/>
  <c r="R460" i="11"/>
  <c r="P453" i="11"/>
  <c r="J503" i="11"/>
  <c r="J564" i="11"/>
  <c r="N460" i="11" l="1"/>
  <c r="P160" i="11"/>
  <c r="P497" i="11"/>
  <c r="N228" i="11"/>
  <c r="P20" i="11"/>
  <c r="P566" i="11"/>
  <c r="L113" i="11"/>
  <c r="P90" i="11"/>
  <c r="N548" i="11"/>
  <c r="H558" i="11"/>
  <c r="H556" i="11"/>
  <c r="L546" i="11"/>
  <c r="J568" i="11"/>
  <c r="J548" i="11"/>
  <c r="H99" i="11"/>
  <c r="P95" i="11"/>
  <c r="H285" i="11"/>
  <c r="P280" i="11"/>
  <c r="P204" i="11"/>
  <c r="P434" i="11"/>
  <c r="P396" i="11"/>
  <c r="P457" i="11"/>
  <c r="P218" i="11"/>
  <c r="N253" i="11"/>
  <c r="N266" i="11" s="1"/>
  <c r="P78" i="11"/>
  <c r="P105" i="11"/>
  <c r="P106" i="11" s="1"/>
  <c r="P168" i="11"/>
  <c r="R485" i="11"/>
  <c r="P426" i="11"/>
  <c r="P30" i="11"/>
  <c r="P258" i="11"/>
  <c r="P332" i="11"/>
  <c r="P227" i="11"/>
  <c r="H47" i="11"/>
  <c r="P42" i="11"/>
  <c r="N39" i="11"/>
  <c r="L544" i="11"/>
  <c r="P324" i="11"/>
  <c r="P161" i="11"/>
  <c r="N485" i="11"/>
  <c r="P37" i="11"/>
  <c r="P91" i="11"/>
  <c r="P145" i="11"/>
  <c r="P448" i="11"/>
  <c r="P373" i="11"/>
  <c r="P424" i="11"/>
  <c r="N327" i="11"/>
  <c r="N346" i="11" s="1"/>
  <c r="P508" i="11"/>
  <c r="H511" i="11"/>
  <c r="L568" i="11"/>
  <c r="P509" i="11"/>
  <c r="P447" i="11"/>
  <c r="N498" i="11"/>
  <c r="H319" i="11"/>
  <c r="P314" i="11"/>
  <c r="L562" i="11"/>
  <c r="N402" i="11"/>
  <c r="J266" i="11"/>
  <c r="R266" i="11"/>
  <c r="P208" i="11"/>
  <c r="H460" i="11"/>
  <c r="P441" i="11"/>
  <c r="P142" i="11"/>
  <c r="P399" i="11"/>
  <c r="P394" i="11"/>
  <c r="P432" i="11"/>
  <c r="P458" i="11"/>
  <c r="P489" i="11"/>
  <c r="P281" i="11"/>
  <c r="P459" i="11"/>
  <c r="P111" i="11"/>
  <c r="P382" i="11"/>
  <c r="H228" i="11"/>
  <c r="P223" i="11"/>
  <c r="N511" i="11"/>
  <c r="N146" i="11"/>
  <c r="L146" i="11"/>
  <c r="P429" i="11"/>
  <c r="P169" i="11"/>
  <c r="R548" i="11"/>
  <c r="P564" i="11"/>
  <c r="P96" i="11"/>
  <c r="P431" i="11"/>
  <c r="P276" i="11"/>
  <c r="P21" i="11"/>
  <c r="J162" i="11"/>
  <c r="J172" i="11" s="1"/>
  <c r="L375" i="11"/>
  <c r="P316" i="11"/>
  <c r="P216" i="11"/>
  <c r="N491" i="11"/>
  <c r="P451" i="11"/>
  <c r="P342" i="11"/>
  <c r="P445" i="11"/>
  <c r="L92" i="11"/>
  <c r="J319" i="11"/>
  <c r="R172" i="11"/>
  <c r="J566" i="11"/>
  <c r="J327" i="11"/>
  <c r="J438" i="11"/>
  <c r="P251" i="11"/>
  <c r="R546" i="11"/>
  <c r="H327" i="11"/>
  <c r="J556" i="11"/>
  <c r="P322" i="11"/>
  <c r="N568" i="11"/>
  <c r="H92" i="11"/>
  <c r="L556" i="11"/>
  <c r="J544" i="11"/>
  <c r="R554" i="11"/>
  <c r="P89" i="11"/>
  <c r="R556" i="11"/>
  <c r="P250" i="11"/>
  <c r="P401" i="11"/>
  <c r="P488" i="11"/>
  <c r="H491" i="11"/>
  <c r="H212" i="11"/>
  <c r="P207" i="11"/>
  <c r="P455" i="11"/>
  <c r="P446" i="11"/>
  <c r="P54" i="11"/>
  <c r="H375" i="11"/>
  <c r="P371" i="11"/>
  <c r="J554" i="11"/>
  <c r="H518" i="11"/>
  <c r="P516" i="11"/>
  <c r="N113" i="11"/>
  <c r="P430" i="11"/>
  <c r="P398" i="11"/>
  <c r="R134" i="11"/>
  <c r="P98" i="11"/>
  <c r="P191" i="11"/>
  <c r="H196" i="11"/>
  <c r="P425" i="11"/>
  <c r="P392" i="11"/>
  <c r="P315" i="11"/>
  <c r="P224" i="11"/>
  <c r="P325" i="11"/>
  <c r="P367" i="11"/>
  <c r="L485" i="11"/>
  <c r="P19" i="11"/>
  <c r="H253" i="11"/>
  <c r="P248" i="11"/>
  <c r="P219" i="11"/>
  <c r="P481" i="11"/>
  <c r="H544" i="11"/>
  <c r="L558" i="11"/>
  <c r="L554" i="11"/>
  <c r="N558" i="11"/>
  <c r="P428" i="11"/>
  <c r="P83" i="11"/>
  <c r="J39" i="11"/>
  <c r="P112" i="11"/>
  <c r="P341" i="11"/>
  <c r="H485" i="11"/>
  <c r="P380" i="11"/>
  <c r="L261" i="11"/>
  <c r="P436" i="11"/>
  <c r="P35" i="11"/>
  <c r="P372" i="11"/>
  <c r="L346" i="11"/>
  <c r="J511" i="11"/>
  <c r="N23" i="11"/>
  <c r="R568" i="11"/>
  <c r="N438" i="11"/>
  <c r="H170" i="11"/>
  <c r="P165" i="11"/>
  <c r="P225" i="11"/>
  <c r="P503" i="11"/>
  <c r="R558" i="11"/>
  <c r="H220" i="11"/>
  <c r="L548" i="11"/>
  <c r="J558" i="11"/>
  <c r="R544" i="11"/>
  <c r="H438" i="11"/>
  <c r="P308" i="11"/>
  <c r="P495" i="11"/>
  <c r="P109" i="11"/>
  <c r="R562" i="11"/>
  <c r="P483" i="11"/>
  <c r="P437" i="11"/>
  <c r="H162" i="11"/>
  <c r="P331" i="11"/>
  <c r="P143" i="11"/>
  <c r="P326" i="11"/>
  <c r="P284" i="11"/>
  <c r="J23" i="11"/>
  <c r="J485" i="11"/>
  <c r="R346" i="11"/>
  <c r="N162" i="11"/>
  <c r="P152" i="11"/>
  <c r="P209" i="11"/>
  <c r="P275" i="11"/>
  <c r="P452" i="11"/>
  <c r="P131" i="11"/>
  <c r="P22" i="11"/>
  <c r="H39" i="11"/>
  <c r="P34" i="11"/>
  <c r="P482" i="11"/>
  <c r="P28" i="11"/>
  <c r="P484" i="11"/>
  <c r="H277" i="11"/>
  <c r="P272" i="11"/>
  <c r="J78" i="11"/>
  <c r="P498" i="11" l="1"/>
  <c r="P556" i="11" s="1"/>
  <c r="P31" i="11"/>
  <c r="P154" i="11"/>
  <c r="P146" i="11"/>
  <c r="P220" i="11"/>
  <c r="H548" i="11"/>
  <c r="P438" i="11"/>
  <c r="H346" i="11"/>
  <c r="P23" i="11"/>
  <c r="H266" i="11"/>
  <c r="P343" i="11"/>
  <c r="N554" i="11"/>
  <c r="N172" i="11"/>
  <c r="L266" i="11"/>
  <c r="P319" i="11"/>
  <c r="H546" i="11"/>
  <c r="P170" i="11"/>
  <c r="P327" i="11"/>
  <c r="P558" i="11"/>
  <c r="P39" i="11"/>
  <c r="N134" i="11"/>
  <c r="P162" i="11"/>
  <c r="P402" i="11"/>
  <c r="P196" i="11"/>
  <c r="P384" i="11"/>
  <c r="N562" i="11"/>
  <c r="P47" i="11"/>
  <c r="P285" i="11"/>
  <c r="H172" i="11"/>
  <c r="P335" i="11"/>
  <c r="P485" i="11"/>
  <c r="P253" i="11"/>
  <c r="H568" i="11"/>
  <c r="P99" i="11"/>
  <c r="J134" i="11"/>
  <c r="J562" i="11"/>
  <c r="P375" i="11"/>
  <c r="P228" i="11"/>
  <c r="P55" i="11"/>
  <c r="N556" i="11"/>
  <c r="N552" i="11"/>
  <c r="R552" i="11"/>
  <c r="P261" i="11"/>
  <c r="P511" i="11"/>
  <c r="P212" i="11"/>
  <c r="L172" i="11"/>
  <c r="P92" i="11"/>
  <c r="H552" i="11"/>
  <c r="H554" i="11"/>
  <c r="J546" i="11"/>
  <c r="P368" i="11"/>
  <c r="N544" i="11"/>
  <c r="L134" i="11"/>
  <c r="J552" i="11"/>
  <c r="P277" i="11"/>
  <c r="P113" i="11"/>
  <c r="N546" i="11"/>
  <c r="P311" i="11"/>
  <c r="L552" i="11"/>
  <c r="R136" i="11"/>
  <c r="P518" i="11"/>
  <c r="P491" i="11"/>
  <c r="H134" i="11"/>
  <c r="R386" i="11"/>
  <c r="J346" i="11"/>
  <c r="P460" i="11"/>
  <c r="P85" i="11"/>
  <c r="H562" i="11"/>
  <c r="P172" i="11" l="1"/>
  <c r="P554" i="11"/>
  <c r="P134" i="11"/>
  <c r="L136" i="11"/>
  <c r="P544" i="11"/>
  <c r="P266" i="11"/>
  <c r="P546" i="11"/>
  <c r="R538" i="11"/>
  <c r="R462" i="11"/>
  <c r="P552" i="11"/>
  <c r="J136" i="11"/>
  <c r="R540" i="11"/>
  <c r="R388" i="11"/>
  <c r="P346" i="11"/>
  <c r="N136" i="11"/>
  <c r="P548" i="11"/>
  <c r="L386" i="11"/>
  <c r="P562" i="11"/>
  <c r="H386" i="11"/>
  <c r="N386" i="11"/>
  <c r="P568" i="11"/>
  <c r="H136" i="11"/>
  <c r="J386" i="11"/>
  <c r="P386" i="11" l="1"/>
  <c r="J540" i="11"/>
  <c r="J388" i="11"/>
  <c r="H540" i="11"/>
  <c r="H388" i="11"/>
  <c r="J538" i="11"/>
  <c r="J462" i="11"/>
  <c r="R505" i="11"/>
  <c r="L538" i="11"/>
  <c r="L462" i="11"/>
  <c r="P136" i="11"/>
  <c r="L540" i="11"/>
  <c r="L388" i="11"/>
  <c r="N538" i="11"/>
  <c r="N462" i="11"/>
  <c r="R542" i="11"/>
  <c r="H538" i="11"/>
  <c r="H462" i="11"/>
  <c r="N540" i="11"/>
  <c r="N388" i="11"/>
  <c r="P388" i="11"/>
  <c r="P540" i="11" l="1"/>
  <c r="R550" i="11"/>
  <c r="J542" i="11"/>
  <c r="J505" i="11"/>
  <c r="N542" i="11"/>
  <c r="L542" i="11"/>
  <c r="R520" i="11"/>
  <c r="L505" i="11"/>
  <c r="H505" i="11"/>
  <c r="P538" i="11"/>
  <c r="P462" i="11"/>
  <c r="N505" i="11"/>
  <c r="H542" i="11"/>
  <c r="L520" i="11" l="1"/>
  <c r="J520" i="11"/>
  <c r="N520" i="11"/>
  <c r="H520" i="11"/>
  <c r="H550" i="11"/>
  <c r="N550" i="11"/>
  <c r="J550" i="11"/>
  <c r="P505" i="11"/>
  <c r="P542" i="11"/>
  <c r="L550" i="11"/>
  <c r="R560" i="11"/>
  <c r="P520" i="11" l="1"/>
  <c r="L560" i="11"/>
  <c r="N560" i="11"/>
  <c r="R570" i="11"/>
  <c r="R572" i="11" s="1"/>
  <c r="H560" i="11"/>
  <c r="J560" i="11"/>
  <c r="P550" i="11"/>
  <c r="R571" i="11" l="1"/>
  <c r="P560" i="11"/>
  <c r="N570" i="11"/>
  <c r="N572" i="11" s="1"/>
  <c r="J570" i="11"/>
  <c r="J572" i="11" s="1"/>
  <c r="L570" i="11"/>
  <c r="L572" i="11" s="1"/>
  <c r="H570" i="11"/>
  <c r="H572" i="11" s="1"/>
  <c r="N571" i="11" l="1"/>
  <c r="P570" i="11"/>
  <c r="P572" i="11" s="1"/>
  <c r="H571" i="11"/>
  <c r="L571" i="11"/>
  <c r="J571" i="11"/>
  <c r="P571" i="11" l="1"/>
</calcChain>
</file>

<file path=xl/sharedStrings.xml><?xml version="1.0" encoding="utf-8"?>
<sst xmlns="http://schemas.openxmlformats.org/spreadsheetml/2006/main" count="1203" uniqueCount="576">
  <si>
    <t>SCHEDULE B-07</t>
  </si>
  <si>
    <t>PLANT BALANCES BY ACCOUNT AND SUB-ACCOUNT</t>
  </si>
  <si>
    <t>FLORIDA PUBLIC SERVICE COMMISSION</t>
  </si>
  <si>
    <t xml:space="preserve">                  EXPLANATION:</t>
  </si>
  <si>
    <t>Provide the depreciation rate and plant balances for each account or sub-account to which</t>
  </si>
  <si>
    <t>Type of data shown:</t>
  </si>
  <si>
    <t>a separate depreciation rate is prescribed. (Include Amortization/Recovery schedule amounts).</t>
  </si>
  <si>
    <t>Projected Test Year Ended 12/31/2025</t>
  </si>
  <si>
    <t>COMPANY: TAMPA ELECTRIC COMPANY</t>
  </si>
  <si>
    <t>XX</t>
  </si>
  <si>
    <t>Projected Prior Year Ended 12/31/2024</t>
  </si>
  <si>
    <t>Historical Prior Year Ended 12/31/2023</t>
  </si>
  <si>
    <t>(Dollar in 000's)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</si>
  <si>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</si>
  <si>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</si>
  <si>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</si>
  <si>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</si>
  <si>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</si>
  <si>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</si>
  <si>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</si>
  <si>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</si>
  <si>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</si>
  <si>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Account/</t>
  </si>
  <si>
    <t>Depreciation</t>
  </si>
  <si>
    <t>Plant</t>
  </si>
  <si>
    <t>Total</t>
  </si>
  <si>
    <t>Line</t>
  </si>
  <si>
    <t>Sub-account</t>
  </si>
  <si>
    <t>Rate*</t>
  </si>
  <si>
    <t>Balance</t>
  </si>
  <si>
    <t>Adjustments</t>
  </si>
  <si>
    <t>13-Month</t>
  </si>
  <si>
    <t>No.</t>
  </si>
  <si>
    <t>Number</t>
  </si>
  <si>
    <t>Title</t>
  </si>
  <si>
    <t>(%)</t>
  </si>
  <si>
    <t>Beg. of Year</t>
  </si>
  <si>
    <t>Added</t>
  </si>
  <si>
    <t>Retired</t>
  </si>
  <si>
    <t>or Transfers</t>
  </si>
  <si>
    <t>End of Year</t>
  </si>
  <si>
    <t>Average</t>
  </si>
  <si>
    <t>STEAM PRODUCTION</t>
  </si>
  <si>
    <t>BIG BEND POWER STATION</t>
  </si>
  <si>
    <t>BIG BEND COMMON</t>
  </si>
  <si>
    <t xml:space="preserve">  Structures and Improvements</t>
  </si>
  <si>
    <t xml:space="preserve">  Boiler Plant Equipment</t>
  </si>
  <si>
    <t xml:space="preserve">  Turbogenerator Units</t>
  </si>
  <si>
    <t xml:space="preserve">  Accessory Electric Equipment</t>
  </si>
  <si>
    <t xml:space="preserve">  Misc. Power Plant Equipment</t>
  </si>
  <si>
    <t>TOTAL BIG BEND COMMON</t>
  </si>
  <si>
    <t>BIG BEND UNIT 1</t>
  </si>
  <si>
    <t>TOTAL BIG BEND UNIT 1</t>
  </si>
  <si>
    <t>BIG BEND UNIT 2</t>
  </si>
  <si>
    <t>TOTAL BIG BEND UNIT 2</t>
  </si>
  <si>
    <t>BIG BEND UNIT 3</t>
  </si>
  <si>
    <t>TOTAL BIG BEND UNIT 3</t>
  </si>
  <si>
    <t>BIG BEND UNIT 4</t>
  </si>
  <si>
    <t>TOTAL BIG BEND UNIT 4</t>
  </si>
  <si>
    <t>Totals may be affected due to rounding.</t>
  </si>
  <si>
    <t>Supporting Schedules:  B-08, B-11</t>
  </si>
  <si>
    <t>Recap Schedules:  B-03, B-06</t>
  </si>
  <si>
    <t>BIG BEND UNIT 3 &amp; 4 FGD</t>
  </si>
  <si>
    <t>TOTAL BIG BEND UNIT 3 &amp; 4 FGD</t>
  </si>
  <si>
    <t>BIG BEND UNIT 1 &amp; 2 FGD</t>
  </si>
  <si>
    <t>TOTAL BIG BEND UNIT 1 &amp; 2 FGD</t>
  </si>
  <si>
    <t>BIG BEND UNIT 1 SCR</t>
  </si>
  <si>
    <t>Misc Power Plant Eq-BPC</t>
  </si>
  <si>
    <t>TOTAL BIG BEND UNIT 1 SCR</t>
  </si>
  <si>
    <t>BIG BEND UNIT 2 SCR</t>
  </si>
  <si>
    <t>TOTAL BIG BEND UNIT 2 SCR</t>
  </si>
  <si>
    <t>BIG BEND UNIT 3 SCR</t>
  </si>
  <si>
    <t>TOTAL BIG BEND UNIT 3 SCR</t>
  </si>
  <si>
    <t>BIG BEND UNIT 4 SCR</t>
  </si>
  <si>
    <t>TOTAL BIG BEND UNIT 4 SCR</t>
  </si>
  <si>
    <t>Big Bend Fuel Clause</t>
  </si>
  <si>
    <t>Big Bend Tools - Amort</t>
  </si>
  <si>
    <t>TOTAL BIG BEND POWER STATION</t>
  </si>
  <si>
    <t>TOTAL STEAM PRODUCTION</t>
  </si>
  <si>
    <t>OTHER PRODUCTION</t>
  </si>
  <si>
    <t>BIG BEND COMBUSTION TURBINE 4</t>
  </si>
  <si>
    <t xml:space="preserve">  Fuel Holders, Producers and Accessories</t>
  </si>
  <si>
    <t xml:space="preserve">  Prime Movers</t>
  </si>
  <si>
    <t>TOTAL BIG BEND COMBUSTION TURBINE 4</t>
  </si>
  <si>
    <t xml:space="preserve">BIG BEND COMBUSTION TURBINE 5 </t>
  </si>
  <si>
    <t>TOTAL BIG BEND COMBUSTION TURBINE 5</t>
  </si>
  <si>
    <t>BIG BEND COMBUSTION TURBINE 6</t>
  </si>
  <si>
    <t>TOTAL BIG BEND COMBUSTION TURBINE 6</t>
  </si>
  <si>
    <t>BIG BEND NEW STEAM TURBINE 1</t>
  </si>
  <si>
    <t>TOTAL BIG BEND NEW STEAM TURBINE 1</t>
  </si>
  <si>
    <t>POLK POWER STATION</t>
  </si>
  <si>
    <t>POLK COMMON</t>
  </si>
  <si>
    <t>TOTAL POLK POWER COMMON</t>
  </si>
  <si>
    <t>POLK UNIT 1</t>
  </si>
  <si>
    <t>TOTAL POLK UNIT 1</t>
  </si>
  <si>
    <t>POLK UNIT 2</t>
  </si>
  <si>
    <t>TOTAL POLK UNIT 2</t>
  </si>
  <si>
    <t>POLK UNIT 3</t>
  </si>
  <si>
    <t>TOTAL POLK UNIT 3</t>
  </si>
  <si>
    <t>POLK UNIT 4</t>
  </si>
  <si>
    <t>TOTAL POLK UNIT 4</t>
  </si>
  <si>
    <t>POLK UNIT 5</t>
  </si>
  <si>
    <t>TOTAL POLK UNIT 5</t>
  </si>
  <si>
    <t>POLK CCST (2-5)</t>
  </si>
  <si>
    <t>TOTAL POLK CCST (2-5)</t>
  </si>
  <si>
    <t xml:space="preserve">Polk 1 Fuel Clause </t>
  </si>
  <si>
    <t>Polk Tools - Amort</t>
  </si>
  <si>
    <t>TOTAL POLK POWER STATION</t>
  </si>
  <si>
    <t>BAYSIDE POWER STATION</t>
  </si>
  <si>
    <t>BAYSIDE COMMON</t>
  </si>
  <si>
    <t>TOTAL BAYSIDE COMMON</t>
  </si>
  <si>
    <t>BAYSIDE UNIT 1</t>
  </si>
  <si>
    <t>TOTAL BAYSIDE UNIT 1</t>
  </si>
  <si>
    <t>BAYSIDE UNIT 2</t>
  </si>
  <si>
    <t>TOTAL BAYSIDE UNIT 2</t>
  </si>
  <si>
    <t>BAYSIDE COMBUSTION TURBINE 3</t>
  </si>
  <si>
    <t>TOTAL BAYSIDE COMBUSTION TURBINE 3</t>
  </si>
  <si>
    <t>BAYSIDE COMBUSTION TURBINE 4</t>
  </si>
  <si>
    <t>TOTAL BAYSIDE COMBUSTION TURBINE 4</t>
  </si>
  <si>
    <t>BAYSIDE COMBUSTION TURBINE 5</t>
  </si>
  <si>
    <t>TOTAL BAYSIDE COMBUSTION TURBINE 5</t>
  </si>
  <si>
    <t>BAYSIDE COMBUSTION TURBINE 6</t>
  </si>
  <si>
    <t>TOTAL BAYSIDE COMBUSTION TURBINE 6</t>
  </si>
  <si>
    <t>Bayside Tools - Amort</t>
  </si>
  <si>
    <t>TOTAL BAYSIDE POWER STATION</t>
  </si>
  <si>
    <t>SOLAR SITES</t>
  </si>
  <si>
    <t xml:space="preserve">  Energy Battery Storage Equipment</t>
  </si>
  <si>
    <t>TOTAL SOLAR SITES</t>
  </si>
  <si>
    <t>DC MICRO GRID</t>
  </si>
  <si>
    <t>TOTAL DC MICRO GRID</t>
  </si>
  <si>
    <t>MACDILL AFB</t>
  </si>
  <si>
    <t>TOTAL MACDILL AFB</t>
  </si>
  <si>
    <t>TOTAL OTHER PRODUCTION</t>
  </si>
  <si>
    <t>TOTAL PRODUCTION PLANT</t>
  </si>
  <si>
    <t>TRANSMISSION PLANT</t>
  </si>
  <si>
    <t xml:space="preserve">LAND RIGHTS </t>
  </si>
  <si>
    <t>ENERGY BATTERY STORAGE EQUIPMENT</t>
  </si>
  <si>
    <t>STRUCTURES &amp; IMPROVEMENTS</t>
  </si>
  <si>
    <t>STATION EQUIPMENT</t>
  </si>
  <si>
    <t>TOWERS &amp; FIXTURES</t>
  </si>
  <si>
    <t>POLES &amp; FIXTURES</t>
  </si>
  <si>
    <t>OVERHEAD CONDUCTORS &amp; DEVICES</t>
  </si>
  <si>
    <t>CLEARING RIGHTS-OF-WAY</t>
  </si>
  <si>
    <t>UNDERGROUND CONDUIT</t>
  </si>
  <si>
    <t>UNDERGROUND CONDUCTORS &amp; DEVICES</t>
  </si>
  <si>
    <t>ROADS AND TRAILS</t>
  </si>
  <si>
    <t>TOTAL TRANSMISSION PLANT</t>
  </si>
  <si>
    <t>DISTRIBUTION PLANT</t>
  </si>
  <si>
    <t>POLES, TOWERS &amp; FIXTURES</t>
  </si>
  <si>
    <t>LINE TRANSFORMERS</t>
  </si>
  <si>
    <t>OVERHEAD SERVICES</t>
  </si>
  <si>
    <t>UNDERGROUND SERVICE</t>
  </si>
  <si>
    <t>METERS - ANALOG &amp; AMR</t>
  </si>
  <si>
    <t>METERS - AMI</t>
  </si>
  <si>
    <t>EV CHARGING STATIONS</t>
  </si>
  <si>
    <t>STREET LIGHTING &amp; SIGNAL SYSTEMS</t>
  </si>
  <si>
    <t>STREET LIGHTING - LS2</t>
  </si>
  <si>
    <t>TOTAL DISTRIBUTION PLANT</t>
  </si>
  <si>
    <t>GENERAL PLANT</t>
  </si>
  <si>
    <t>OFFICE FURNITURE &amp; EQUIPMENT - AMORT</t>
  </si>
  <si>
    <t>COMPUTER EQUIPMENT - AMORT</t>
  </si>
  <si>
    <t>DATA HANDLING EQUIPMENT - AMORT</t>
  </si>
  <si>
    <t>MAINFRAME EQUIPMENT - AMORT</t>
  </si>
  <si>
    <t>LIGHT TRUCKS - ENERGY DELIVERY</t>
  </si>
  <si>
    <t>HEAVY TRUCKS  - ENERGY DELIVERY</t>
  </si>
  <si>
    <t>MEDIUM TRUCKS - ENERGY DELIVERY</t>
  </si>
  <si>
    <t>LIGHT TRUCKS - ENERGY SUPPLY</t>
  </si>
  <si>
    <t>HEAVY TRUCKS - ENERGY SUPPLY</t>
  </si>
  <si>
    <t>MEDIUM TRUCKS - ENERGY SUPPLY</t>
  </si>
  <si>
    <t>STORES EQUIPMENT - AMORT</t>
  </si>
  <si>
    <t>TOOLS, SHOP &amp; GARAGE EQUIP - AMORT</t>
  </si>
  <si>
    <t>ECCR SOLAR CAR PORT - AMORT</t>
  </si>
  <si>
    <t>LABORATORY EQUIPMENT - AMORT</t>
  </si>
  <si>
    <t>POWER OPERATED EQUIPMENT - AMORT</t>
  </si>
  <si>
    <t>COMMUNICATION EQUIPMENT - AMORT</t>
  </si>
  <si>
    <t>COMMUNICATION EQUIPMENT- FIBER</t>
  </si>
  <si>
    <t>MISCELLANEOUS EQUIPMENT - AMORT</t>
  </si>
  <si>
    <t>TOTAL GENERAL PLANT</t>
  </si>
  <si>
    <t>TOTAL DEPRECIABLE PLANT</t>
  </si>
  <si>
    <t>NON-DEPRECIABLE PROPERTY</t>
  </si>
  <si>
    <t>310's</t>
  </si>
  <si>
    <t>LAND-STEAM PRODUCTION</t>
  </si>
  <si>
    <t>340's</t>
  </si>
  <si>
    <t xml:space="preserve">LAND-OTHER PRODUCTION </t>
  </si>
  <si>
    <t>LAND-TRANSMISSION</t>
  </si>
  <si>
    <t>LAND-DISTRIBUTION</t>
  </si>
  <si>
    <t>LAND-GENERAL</t>
  </si>
  <si>
    <t>TOTAL NON-DEPRECIABLE PROPERTY</t>
  </si>
  <si>
    <t>INTANGIBLES</t>
  </si>
  <si>
    <t>SOFTWARE - AMORT - 15YR</t>
  </si>
  <si>
    <t>ASSET RETIREMENT COST - AMORT</t>
  </si>
  <si>
    <t>INTANGIBLE SOFTWARE SOLAR 30YR</t>
  </si>
  <si>
    <t>TOTAL INTANGIBLES</t>
  </si>
  <si>
    <t>ASSET RETIREMENT OBLIGATION</t>
  </si>
  <si>
    <t>ARO COSTS-STEAM</t>
  </si>
  <si>
    <t>ARO COSTS-OTHER</t>
  </si>
  <si>
    <t>ARO COSTS-DISTRIBUTION</t>
  </si>
  <si>
    <t>ARO COSTS-GENERAL</t>
  </si>
  <si>
    <t>TOTAL ASSET RETIREMENT OBLIGATION</t>
  </si>
  <si>
    <t>LEASE NON-DEPRECIABLE LAND</t>
  </si>
  <si>
    <t>RIGHT OF USE ASSET-CAPITAL LEASE</t>
  </si>
  <si>
    <t>RIGHT OF USE ASSET-OPERATING LEASE</t>
  </si>
  <si>
    <t>TOTAL LEASE NON-DEPRECIABLE LAND</t>
  </si>
  <si>
    <t>TOTAL ELECTRIC PLANT IN SERVICE</t>
  </si>
  <si>
    <t>ACQUISITION ADJUSTMENTS</t>
  </si>
  <si>
    <t>ACQUISITION ADJUSTMENT - OUC</t>
  </si>
  <si>
    <t>ACQUISITION ADJUSTMENT - FPL</t>
  </si>
  <si>
    <t>ACQUISITION ADJUSTMENT - UNION HALL</t>
  </si>
  <si>
    <t>TOTAL ACQUISITION ADJUSTMENTS</t>
  </si>
  <si>
    <t>ELECTRIC PLANT PURCHASED OR SOLD</t>
  </si>
  <si>
    <t>PROPERTY HELD FOR FUTURE USE</t>
  </si>
  <si>
    <t>FOSSIL DISMANTLING - STEAM</t>
  </si>
  <si>
    <t>FOSSIL DISMANTLING - OTHER</t>
  </si>
  <si>
    <t>TOTAL FOSSIL DISMANTLING</t>
  </si>
  <si>
    <t>TOTAL ELECTRIC UTILITY PLANT</t>
  </si>
  <si>
    <t>Annual Status Report</t>
  </si>
  <si>
    <t>Annual</t>
  </si>
  <si>
    <t>B-7</t>
  </si>
  <si>
    <t>B-9</t>
  </si>
  <si>
    <t>Reserve</t>
  </si>
  <si>
    <t>Activity</t>
  </si>
  <si>
    <t>EOP</t>
  </si>
  <si>
    <t>Depr</t>
  </si>
  <si>
    <t>Account</t>
  </si>
  <si>
    <t>PowerPlant Depr Group</t>
  </si>
  <si>
    <t>Additions</t>
  </si>
  <si>
    <t>Retirements</t>
  </si>
  <si>
    <t>Transfers</t>
  </si>
  <si>
    <t>Adjustment</t>
  </si>
  <si>
    <t>13-Mth Avg</t>
  </si>
  <si>
    <t>Variance</t>
  </si>
  <si>
    <t>Depr Exp</t>
  </si>
  <si>
    <t>COR Incurred</t>
  </si>
  <si>
    <t>COR RWIP</t>
  </si>
  <si>
    <t>SALV Incurred</t>
  </si>
  <si>
    <t>SALV RWIP</t>
  </si>
  <si>
    <t>Gain/Loss</t>
  </si>
  <si>
    <t>Rates</t>
  </si>
  <si>
    <t>105.01 Future Use Non Depreciable A</t>
  </si>
  <si>
    <t>108.03-Accum Reserve Dismantling</t>
  </si>
  <si>
    <t>108.04-Sebring Acquisition Adj</t>
  </si>
  <si>
    <t>108.50-Dismantling Gannon Common</t>
  </si>
  <si>
    <t>108.51-Dismantling Gannon Unit 1</t>
  </si>
  <si>
    <t>108.52-Dismantling Gannon Unit 2</t>
  </si>
  <si>
    <t>108.53-Dismantling Gannon Unit 3</t>
  </si>
  <si>
    <t>108.54-Dismantling Gannon Unit 4</t>
  </si>
  <si>
    <t>108.55-Dismantling Gannon Unit 5</t>
  </si>
  <si>
    <t>108.56-Dismantling Gannon Unit 6</t>
  </si>
  <si>
    <t>114.01-OUC Acquisition Adj</t>
  </si>
  <si>
    <t>114.02-FPL Acquisition Adj</t>
  </si>
  <si>
    <t>114.03-Union Hall Acquisition Adj</t>
  </si>
  <si>
    <t>121.00 Non-Utility Non-Depreciable</t>
  </si>
  <si>
    <t>121.12 Non-Utility Zap Cap Res 15yr</t>
  </si>
  <si>
    <t>121.14 Non-Utility Zap Cap Bus 15yr</t>
  </si>
  <si>
    <t>121.22 Non-Utility GTE FCU 5yr</t>
  </si>
  <si>
    <t>121.26 Non-Utility Rest 2002 5yr</t>
  </si>
  <si>
    <t>121.27 Non-Utility Rest 2008 5yr</t>
  </si>
  <si>
    <t>121.30 Non-Utility Restuarant 5yr</t>
  </si>
  <si>
    <t>121.88 Solar Lighting - Non Reg</t>
  </si>
  <si>
    <t>121.99 Solar Lighting - Regulated</t>
  </si>
  <si>
    <t>303.00 Misc Intangible Plant 5yr</t>
  </si>
  <si>
    <t>303.01 SAP Intangible Plant 10yr</t>
  </si>
  <si>
    <t>303.02 ARO Costs-Intangible</t>
  </si>
  <si>
    <t>303.15 Intangible Software 15yr</t>
  </si>
  <si>
    <t>303.99 Intangible Software Solar</t>
  </si>
  <si>
    <t>310.01 Land &amp; Land Rights-Misc</t>
  </si>
  <si>
    <t>310.11 Land &amp; LR-Dinner Lake</t>
  </si>
  <si>
    <t>310.40 Land &amp; Land Rights-BBCM</t>
  </si>
  <si>
    <t>311.01 Str &amp; Improvements-Misc</t>
  </si>
  <si>
    <t>311.30 Str &amp; Improvements-BPC</t>
  </si>
  <si>
    <t>311.31 Str &amp; Improvements-BP1</t>
  </si>
  <si>
    <t>311.32 Str &amp; Improvements-BP2</t>
  </si>
  <si>
    <t>311.33 Str &amp; Improvements-BP3</t>
  </si>
  <si>
    <t>311.34 Str &amp; Improvements-BP4</t>
  </si>
  <si>
    <t>311.40 Str &amp; Improvements-BBCM</t>
  </si>
  <si>
    <t>311.41 Str &amp; Improvements-BB1</t>
  </si>
  <si>
    <t>311.42 Str &amp; Improvements-BB2</t>
  </si>
  <si>
    <t>311.43 Str &amp; Improvements-BB3</t>
  </si>
  <si>
    <t>311.44 Str &amp; Improve-BB4 MAIN STT</t>
  </si>
  <si>
    <t>311.45 Str &amp; Improvements-BB3&amp;4 FGD</t>
  </si>
  <si>
    <t>311.46 Str &amp; Improve-BB1&amp;2 FGD</t>
  </si>
  <si>
    <t>311.51 Str &amp; Improve-BB1 SCR</t>
  </si>
  <si>
    <t>311.52 Str &amp; Improve-BB2 SCR</t>
  </si>
  <si>
    <t>311.53 Str &amp; Improve-BB3 SCR</t>
  </si>
  <si>
    <t>311.54 Str &amp; Improve-BB4 SCR</t>
  </si>
  <si>
    <t>311.75 Str &amp; Improvements-BPC</t>
  </si>
  <si>
    <t>311.78 Str &amp; Improvements-BP3</t>
  </si>
  <si>
    <t>311.79 Str &amp; Improvements-BP4</t>
  </si>
  <si>
    <t>312.30 Boiler Plant Eq-BPC</t>
  </si>
  <si>
    <t>312.31 Boiler Plant Eq-BP1</t>
  </si>
  <si>
    <t>312.32 Boiler Plant Eq-BP2</t>
  </si>
  <si>
    <t>312.40 Boiler Plant Eq-BBCM</t>
  </si>
  <si>
    <t>312.41 Boiler Plant Eq-BB1</t>
  </si>
  <si>
    <t>312.42 Boiler Plant Eq-BB2</t>
  </si>
  <si>
    <t>312.43 Boiler Plant Eq-BB3</t>
  </si>
  <si>
    <t>312.44 Boiler Plant Eq-BB4 MAIN STT</t>
  </si>
  <si>
    <t>312.45 Boiler Plant Eq-BB3&amp;4 FGD</t>
  </si>
  <si>
    <t>312.46 Boiler Plant Eq-BB1&amp;2 FGD</t>
  </si>
  <si>
    <t>312.47 Fuel Clause Big Bend</t>
  </si>
  <si>
    <t>312.51 Boiler Plant Eq-BB1 SCR</t>
  </si>
  <si>
    <t>312.52 Boiler Plant Eq-BB2 SCR</t>
  </si>
  <si>
    <t>312.53 Boiler Plant Eq-BB3 SCR</t>
  </si>
  <si>
    <t>312.54 Boiler Plant Eq-BB4 SCR</t>
  </si>
  <si>
    <t>312.75 Boiler Plant Eq-BPC</t>
  </si>
  <si>
    <t>314.30 Turbogenerator Units-BPC</t>
  </si>
  <si>
    <t>314.31 Turbogenerator Units-BP1</t>
  </si>
  <si>
    <t>314.32 Turbogenerator Units-BP2</t>
  </si>
  <si>
    <t>314.33 Turbogenerator Units-BP3</t>
  </si>
  <si>
    <t>314.34 Turbogenerator Units-BP4</t>
  </si>
  <si>
    <t>314.40 Turbogenerator Units-BBCM</t>
  </si>
  <si>
    <t>314.41 Turbogenerator Units-BB1</t>
  </si>
  <si>
    <t>314.42 Turbogenerator Units-BB2</t>
  </si>
  <si>
    <t>314.43 Turbogenerator Units-BB3</t>
  </si>
  <si>
    <t>314.44 Turbogen Units-BB4 MAIN STT</t>
  </si>
  <si>
    <t>315.30 Accessory Electric Eq-BPC</t>
  </si>
  <si>
    <t>315.31 Accessory Electric Eq-BP1</t>
  </si>
  <si>
    <t>315.32 Accessory Electric Eq-BP2</t>
  </si>
  <si>
    <t>315.33 Accessory Electric Eq-BP3</t>
  </si>
  <si>
    <t>315.34 Accessory Electric Eq-BP4</t>
  </si>
  <si>
    <t>315.40 Accessory Electric Eq-BBCM</t>
  </si>
  <si>
    <t>315.41 Accessory Electric Eq-BB1</t>
  </si>
  <si>
    <t>315.42 Accessory Electric Eq-BB2</t>
  </si>
  <si>
    <t>315.43 Accessory Electric Eq-BB3</t>
  </si>
  <si>
    <t>315.44 Access Elect Eq-BB4 MAIN STT</t>
  </si>
  <si>
    <t>315.45 Accessory Elect Eq-BB3&amp;4 FGD</t>
  </si>
  <si>
    <t>315.46 Accessory Elect Eq-BB1&amp;2 FGD</t>
  </si>
  <si>
    <t>315.51 Accessory Elect Eq-BB1 SCR</t>
  </si>
  <si>
    <t>315.52 Accessory Elect Eq-BB2 SCR</t>
  </si>
  <si>
    <t>315.53 Accessory Elect Eq-BB3 SCR</t>
  </si>
  <si>
    <t>315.54 Accessory Elect Eq-BB4 SCR</t>
  </si>
  <si>
    <t>316.01 Misc Power Plant Equip</t>
  </si>
  <si>
    <t>316.17 Tools Misc Supply 7yr</t>
  </si>
  <si>
    <t>316.30 Misc Power Plant Eq-BPC</t>
  </si>
  <si>
    <t>316.31 Misc Power Plant Eq-BP1</t>
  </si>
  <si>
    <t>316.32 Misc Power Plant Eq-BP2</t>
  </si>
  <si>
    <t>316.33 Misc Power Plant Eq-BP3</t>
  </si>
  <si>
    <t>316.34 Misc Power Plant Eq-BP4</t>
  </si>
  <si>
    <t>316.40 Misc Power Plant Eq-BBCM</t>
  </si>
  <si>
    <t>316.41 Misc Power Plant Eq-BB1</t>
  </si>
  <si>
    <t>316.42 Misc Power Plant Eq-BB2</t>
  </si>
  <si>
    <t>316.43 Misc Power Plant Eq-BB3</t>
  </si>
  <si>
    <t>316.44 Misc Pwr Plt Eq-BB 4 MAIN ST</t>
  </si>
  <si>
    <t>316.45 Misc Power Plant Eq-BB3&amp;4FGD</t>
  </si>
  <si>
    <t>316.46 Misc Power Plt Eq-BB1&amp;2 FGD</t>
  </si>
  <si>
    <t>316.47 Tools Big Bend 7yr</t>
  </si>
  <si>
    <t>316.51 Misc Power Plt Eq-BB1 SCR</t>
  </si>
  <si>
    <t>316.52 Misc Power Plt Eq-BB2 SCR</t>
  </si>
  <si>
    <t>316.53 Misc Power Plt Eq-BB3 SCR</t>
  </si>
  <si>
    <t>316.54 Misc Power Plt Eq-BB4 SCR</t>
  </si>
  <si>
    <t>317.00 ARO Costs-Steam</t>
  </si>
  <si>
    <t>340.28 Land &amp; Land Rights-Phillips</t>
  </si>
  <si>
    <t>340.30 Land &amp; Land Rights-BPC</t>
  </si>
  <si>
    <t>340.42 Land &amp; Land Rights-BBCT1&amp;3</t>
  </si>
  <si>
    <t>340.81 Land &amp; Land Rights-Polk U1</t>
  </si>
  <si>
    <t>340.99 Land &amp; Land Rights-Solar</t>
  </si>
  <si>
    <t>341.20 Str and Improvements-MDAFB</t>
  </si>
  <si>
    <t>341.28 Str and Improve-Phillips</t>
  </si>
  <si>
    <t>341.30 Str and Improvements-BPC</t>
  </si>
  <si>
    <t>341.31 Str and Improvements-BP1</t>
  </si>
  <si>
    <t>341.32 Str and Improvements-BP2</t>
  </si>
  <si>
    <t>341.33 Str and Improvements-BP3</t>
  </si>
  <si>
    <t>341.34 Str and Improvements-BP4</t>
  </si>
  <si>
    <t>341.35 Str and Improvements-BP5</t>
  </si>
  <si>
    <t>341.36 Str and Improvements-BP6</t>
  </si>
  <si>
    <t>341.41 Str and Improvements-BBCT1</t>
  </si>
  <si>
    <t>341.42 Str and Improvements-BBCT2&amp;3</t>
  </si>
  <si>
    <t>341.43 Str and Improvements-BBCCST1</t>
  </si>
  <si>
    <t>341.44 Str and Improvements-BBCT4</t>
  </si>
  <si>
    <t>341.45 Str and Improvements-BBCT5</t>
  </si>
  <si>
    <t>341.46 Str and Improvements-BBCT6</t>
  </si>
  <si>
    <t>341.80 Str and Improve-Polk Comm</t>
  </si>
  <si>
    <t>341.81 Str and Improvements-Polk U1</t>
  </si>
  <si>
    <t>341.82 Str and Improvements-Polk U2</t>
  </si>
  <si>
    <t>341.83 Str and Improvements-Polk U3</t>
  </si>
  <si>
    <t>341.84 Str and Improvements-Polk U4</t>
  </si>
  <si>
    <t>341.85 Str and Improvements-Polk U5</t>
  </si>
  <si>
    <t>341.86 Str and Improvements-PKCCST</t>
  </si>
  <si>
    <t>341.98 Str and Improvements-DCMG</t>
  </si>
  <si>
    <t>341.99 Str and Improvements-Solar</t>
  </si>
  <si>
    <t>342.20 Fuel Holders,Prod Acc-MDAFB</t>
  </si>
  <si>
    <t>342.28 FuelHolders,ProdAcc-Phillips</t>
  </si>
  <si>
    <t>342.30 Fuel Holders,Prod Acc-BPC</t>
  </si>
  <si>
    <t>342.31 Fuel Holders,Prod Acc-BP1</t>
  </si>
  <si>
    <t>342.32 Fuel Holders,Prod Acc-BP2</t>
  </si>
  <si>
    <t>342.33 Fuel Holders,Prod Acc-BP3</t>
  </si>
  <si>
    <t>342.34 Fuel Holders,Prod Acc-BP4</t>
  </si>
  <si>
    <t>342.35 Fuel Holders,Prod Acc-BP5</t>
  </si>
  <si>
    <t>342.36 Fuel Holders,Prod Acc-BP6</t>
  </si>
  <si>
    <t>342.41 Fuel Holders,Prod Acc-BBCT1</t>
  </si>
  <si>
    <t>342.42 Fuel Holders,ProdAcc-BBCT2&amp;3</t>
  </si>
  <si>
    <t>342.43 Fuel Holders,ProdAcc-BBCCST1</t>
  </si>
  <si>
    <t>342.44 Fuel Holders,Prod Acc-BBCT4</t>
  </si>
  <si>
    <t>342.45 Fuel Holders,Prod Acc-BBCT5</t>
  </si>
  <si>
    <t>342.46 Fuel Holders,Prod Acc-BBCT6</t>
  </si>
  <si>
    <t>342.80 Fuel Holders,Prod Acc-Polk C</t>
  </si>
  <si>
    <t>342.81 Fuel Holders,Prod Acc-Polk 1</t>
  </si>
  <si>
    <t>342.82 Fuel Holders,Prod Acc-Polk 2</t>
  </si>
  <si>
    <t>342.83 Fuel Holders,Prod Acc-Polk 3</t>
  </si>
  <si>
    <t>342.84 Fuel Holders,Prod Acc-Polk 4</t>
  </si>
  <si>
    <t>342.85 Fuel Holders,Prod Acc-Polk 5</t>
  </si>
  <si>
    <t>342.86 Fuel Holders,Prod Acc-PKCCST</t>
  </si>
  <si>
    <t>342.87 Fuel Clause Polk 1</t>
  </si>
  <si>
    <t>343.20 Prime Movers-MDAFB</t>
  </si>
  <si>
    <t>343.28 Prime Movers-Phillips</t>
  </si>
  <si>
    <t>343.30 Prime Movers-BPC</t>
  </si>
  <si>
    <t>343.31 Prime Movers-BP1</t>
  </si>
  <si>
    <t>343.32 Prime Movers-BP2</t>
  </si>
  <si>
    <t>343.33 Prime Movers-BP3</t>
  </si>
  <si>
    <t>343.34 Prime Movers-BP4</t>
  </si>
  <si>
    <t>343.35 Prime Movers-BP5</t>
  </si>
  <si>
    <t>343.36 Prime Movers-BP6</t>
  </si>
  <si>
    <t>343.41 Prime Movers-BBCT1</t>
  </si>
  <si>
    <t>343.42 Prime Movers-BBCT2&amp;3</t>
  </si>
  <si>
    <t>343.43 Prime Movers-BBCCST1</t>
  </si>
  <si>
    <t>343.44 Prime Movers-BBCT4</t>
  </si>
  <si>
    <t>343.45 Prime Movers-BBCT5</t>
  </si>
  <si>
    <t>343.46 Prime Movers-BBCT6</t>
  </si>
  <si>
    <t>343.52 Prime Movers-Gannon Dismantl</t>
  </si>
  <si>
    <t>343.80 Prime Movers-Polk Common</t>
  </si>
  <si>
    <t>343.81 Prime Movers-Polk U1</t>
  </si>
  <si>
    <t>343.82 Prime Movers-Polk U2</t>
  </si>
  <si>
    <t>343.83 Prime Movers-Polk U3</t>
  </si>
  <si>
    <t>343.84 Prime Movers-Polk U4</t>
  </si>
  <si>
    <t>343.85 Prime Movers-Polk U5</t>
  </si>
  <si>
    <t>343.86 Prime Movers-PKCCST</t>
  </si>
  <si>
    <t>343.90 Prime Movers-Tampa Biosolids</t>
  </si>
  <si>
    <t>343.98 Prime Movers-DCMG</t>
  </si>
  <si>
    <t>343.99 Prime Movers-Solar</t>
  </si>
  <si>
    <t>345.20 Accessory Electric Eq-MDAFB</t>
  </si>
  <si>
    <t>345.28 Accessory Elect Eq-Phillips</t>
  </si>
  <si>
    <t>345.30 Accessory Electric Eq-BPC</t>
  </si>
  <si>
    <t>345.31 Accessory Electric Eq-BP1</t>
  </si>
  <si>
    <t>345.32 Accessory Electric Eq-BP2</t>
  </si>
  <si>
    <t>345.33 Accessory Electric Eq-BP3</t>
  </si>
  <si>
    <t>345.34 Accessory Electric Eq-BP4</t>
  </si>
  <si>
    <t>345.35 Accessory Electric Eq-BP5</t>
  </si>
  <si>
    <t>345.36 Accessory Electric Eq-BP6</t>
  </si>
  <si>
    <t>345.41 Accessory Electric Eq-BBCT1</t>
  </si>
  <si>
    <t>345.42 Accessory Elect Eq-BBCT2&amp;3</t>
  </si>
  <si>
    <t>345.43 Accessory ElectricEq-BBCCST1</t>
  </si>
  <si>
    <t>345.44 Accessory Electric Eq-BBCT4</t>
  </si>
  <si>
    <t>345.45 Accessory Electric Eq-BBCT5</t>
  </si>
  <si>
    <t>345.46 Accessory Electric Eq-BBCT6</t>
  </si>
  <si>
    <t>345.80 Accessory Elect Eq-Polk Comm</t>
  </si>
  <si>
    <t>345.81 Accessory Elect Eq-Polk U1</t>
  </si>
  <si>
    <t>345.82 Accessory Elect Eq-Polk U2</t>
  </si>
  <si>
    <t>345.83 Accessory Elect Eq-Polk U3</t>
  </si>
  <si>
    <t>345.84 Accessory Elect Eq-Polk U4</t>
  </si>
  <si>
    <t>345.85 Accessory Elect Eq-Polk U5</t>
  </si>
  <si>
    <t>345.86 Accessory Elect Eq-PKCCST</t>
  </si>
  <si>
    <t>345.98 Accessory Electric Eq-DCMG</t>
  </si>
  <si>
    <t>345.99 Accessory Elect Eq-Solar</t>
  </si>
  <si>
    <t>346.20 Misc Power Plant Eq-MDAFB</t>
  </si>
  <si>
    <t>346.28 Misc Power Plant Eq-Phillips</t>
  </si>
  <si>
    <t>346.30 Misc Power Plant Eq-BPC</t>
  </si>
  <si>
    <t>346.31 Misc Power Plant Eq-BP1</t>
  </si>
  <si>
    <t>346.32 Misc Power Plant Eq-BP2</t>
  </si>
  <si>
    <t>346.33 Misc Power Plant Eq-BP3</t>
  </si>
  <si>
    <t>346.34 Misc Power Plant Eq-BP4</t>
  </si>
  <si>
    <t>346.35 Misc Power Plant Eq-BP5</t>
  </si>
  <si>
    <t>346.36 Misc Power Plant Eq-BP6</t>
  </si>
  <si>
    <t>346.37 Tools Bayside 7yr</t>
  </si>
  <si>
    <t>346.41 Misc Power Plant Eq-BBCT1</t>
  </si>
  <si>
    <t>346.43 Misc Power Plant Eq-BBCCST1</t>
  </si>
  <si>
    <t>346.44 Misc Power Plant Eq-BBCT4</t>
  </si>
  <si>
    <t>346.45 Misc Power Plant Eq-BBCT5</t>
  </si>
  <si>
    <t>346.46 Misc Power Plant Eq-BBCT6</t>
  </si>
  <si>
    <t>346.80 Misc Power Plt Eq-Polk Comm</t>
  </si>
  <si>
    <t>346.81 Misc Power Plant Eq-Polk U1</t>
  </si>
  <si>
    <t>346.82 Misc Power Plant Eq-Polk U2</t>
  </si>
  <si>
    <t>346.83 Misc Power Plant Eq-Polk U3</t>
  </si>
  <si>
    <t>346.84 Misc Power Plant Eq-Polk U4</t>
  </si>
  <si>
    <t>346.85 Misc Power Plant Eq-Polk U5</t>
  </si>
  <si>
    <t>346.86 Misc Power Plant Eq-PKCCST</t>
  </si>
  <si>
    <t>346.87 Tools Polk 7yr</t>
  </si>
  <si>
    <t>347.00 ARO Costs-Other</t>
  </si>
  <si>
    <t>343.00 Unapproved Distributed Gen 30yr</t>
  </si>
  <si>
    <t>348.00 Unapproved Energy Storage 10yr</t>
  </si>
  <si>
    <t>348.20 Energy Storage Battery-MDAFB</t>
  </si>
  <si>
    <t>348.98 Energy Storage Battery-DCMG</t>
  </si>
  <si>
    <t>348.99 Energy Storage Battery Equip</t>
  </si>
  <si>
    <t>350.00 Land</t>
  </si>
  <si>
    <t>350.01 Land Rights</t>
  </si>
  <si>
    <t>351.00 Energy Storage Battery Equip</t>
  </si>
  <si>
    <t>352.00 STR and Improvements</t>
  </si>
  <si>
    <t>353.00 Station Equipment</t>
  </si>
  <si>
    <t>354.00 Towers &amp; Fixtures</t>
  </si>
  <si>
    <t>355.00 Poles and Fixtures</t>
  </si>
  <si>
    <t>356.00 OH Cond and Devices</t>
  </si>
  <si>
    <t>356.01 Clearing Rights of Way</t>
  </si>
  <si>
    <t>357.00 Underground Conduit</t>
  </si>
  <si>
    <t>358.00 UG Conductors &amp; Devices</t>
  </si>
  <si>
    <t>359.00 Roads and Trails</t>
  </si>
  <si>
    <t>359.10 ARO Costs-Transmission</t>
  </si>
  <si>
    <t>360.00 Land</t>
  </si>
  <si>
    <t>361.00 Structures &amp; Improvements</t>
  </si>
  <si>
    <t>362.00 Station Equipment</t>
  </si>
  <si>
    <t>363.00 Energy Storage Battery Equip</t>
  </si>
  <si>
    <t>364.00 Poles, Towers &amp; Fixtures</t>
  </si>
  <si>
    <t>365.00 OH Conductors &amp; Devices</t>
  </si>
  <si>
    <t>366.00 UG Conduit &amp; Others</t>
  </si>
  <si>
    <t>367.00 UG Conductors &amp; Devices</t>
  </si>
  <si>
    <t>368.00 Line Transformers OH,UG,Net</t>
  </si>
  <si>
    <t>369.00 Services - OH</t>
  </si>
  <si>
    <t>369.02 Services - UG</t>
  </si>
  <si>
    <t>370.00 Meters - Analog &amp; AMR</t>
  </si>
  <si>
    <t>370.01 Meters - AMI</t>
  </si>
  <si>
    <t>370.10 EV Charging Stations</t>
  </si>
  <si>
    <t>371.01 Unapproved Placeholder 10yr</t>
  </si>
  <si>
    <t>371.02 Unapproved Placeholder 15yr</t>
  </si>
  <si>
    <t>371.03 Unapproved Placeholder 30yr</t>
  </si>
  <si>
    <t>373.00 Street Light &amp; Signal Sys</t>
  </si>
  <si>
    <t>373.02 LS2 Lighting</t>
  </si>
  <si>
    <t>374.00 ARO Costs-Distribution</t>
  </si>
  <si>
    <t>389.00 Land &amp; Land Rights</t>
  </si>
  <si>
    <t>390.00 Structures &amp; Improvements</t>
  </si>
  <si>
    <t>391.01 Office Fur, Fixt &amp; Equip 7yr</t>
  </si>
  <si>
    <t>391.02 Computer &amp; Perph Equip 4yr</t>
  </si>
  <si>
    <t>391.03 Data Handling Equip 7yr</t>
  </si>
  <si>
    <t>391.04 Computer Hardw-Mainframe 5yr</t>
  </si>
  <si>
    <t>392.01 Trans Equipment - Invalid</t>
  </si>
  <si>
    <t>392.02 ED Trans Equip - L Vehicle</t>
  </si>
  <si>
    <t>392.03 ED Trans Equip - H Vehicle</t>
  </si>
  <si>
    <t>392.04 ED Trans Equip - M Vehicle</t>
  </si>
  <si>
    <t>392.12 ES Trans Equip - L Vehicle</t>
  </si>
  <si>
    <t>392.13 ES Trans Equip - H Vehicle</t>
  </si>
  <si>
    <t>392.14 ES Trans Equip - M Vehicle</t>
  </si>
  <si>
    <t>393.00 Stores Equipment 7yr</t>
  </si>
  <si>
    <t>394.00 Tool Shop &amp; Garage Equip 7yr</t>
  </si>
  <si>
    <t>394.01 ECCR Solar Car Port 5yr</t>
  </si>
  <si>
    <t>394.03 Tool Vehicles 7yr - Invalid</t>
  </si>
  <si>
    <t>395.00 Laboratory Equipment 7yr</t>
  </si>
  <si>
    <t>396.00 Power Operated Equipment 7yr</t>
  </si>
  <si>
    <t>397.00 Communication Equipment 7yr</t>
  </si>
  <si>
    <t>397.25 Fiber Optic</t>
  </si>
  <si>
    <t>398.00 Miscellaneous Equipment 7yr</t>
  </si>
  <si>
    <t>399.10 ARO Costs-General</t>
  </si>
  <si>
    <t>Subtotal</t>
  </si>
  <si>
    <t>PHFFU</t>
  </si>
  <si>
    <t>Dismantlement</t>
  </si>
  <si>
    <t>114 / 115</t>
  </si>
  <si>
    <t>Acquisition Adjustments</t>
  </si>
  <si>
    <t>121 / 122</t>
  </si>
  <si>
    <t>Non-Utility</t>
  </si>
  <si>
    <t>101 / 111</t>
  </si>
  <si>
    <t>SOFTWARE - Intangibles</t>
  </si>
  <si>
    <t>101 / 108</t>
  </si>
  <si>
    <t xml:space="preserve">ARO </t>
  </si>
  <si>
    <t>GENERATION - Steam</t>
  </si>
  <si>
    <t>GENERATION - Other</t>
  </si>
  <si>
    <t>TRANSMISSION</t>
  </si>
  <si>
    <t>DISTRIBUTION</t>
  </si>
  <si>
    <t>VEHICLES - General</t>
  </si>
  <si>
    <t>GENERAL</t>
  </si>
  <si>
    <t>TOTAL</t>
  </si>
  <si>
    <t>Variances</t>
  </si>
  <si>
    <t>SOP Summary / Worksheet Variance</t>
  </si>
  <si>
    <t>1011000 - Lease Capital</t>
  </si>
  <si>
    <t>1011200 - Lease Operating</t>
  </si>
  <si>
    <t>1020000 - Purchase/Sold</t>
  </si>
  <si>
    <t>Reconciled</t>
  </si>
  <si>
    <t>B-7 and B-9 Check Figures</t>
  </si>
  <si>
    <t>Unapproved not on B-7 and B-9</t>
  </si>
  <si>
    <r>
      <t xml:space="preserve">Tricks and Tips … on B-07 tab, replace formulas … </t>
    </r>
    <r>
      <rPr>
        <b/>
        <sz val="11"/>
        <color rgb="FFFF0000"/>
        <rFont val="Calibri"/>
        <family val="2"/>
        <scheme val="minor"/>
      </rPr>
      <t>)/1</t>
    </r>
    <r>
      <rPr>
        <b/>
        <sz val="11"/>
        <rFont val="Calibri"/>
        <family val="2"/>
        <scheme val="minor"/>
      </rPr>
      <t xml:space="preserve"> with</t>
    </r>
    <r>
      <rPr>
        <b/>
        <sz val="11"/>
        <color rgb="FFFF0000"/>
        <rFont val="Calibri"/>
        <family val="2"/>
        <scheme val="minor"/>
      </rPr>
      <t xml:space="preserve"> )/1000</t>
    </r>
  </si>
  <si>
    <t>ASDR tab should be all values no links to the SOP file</t>
  </si>
  <si>
    <t>Double check totals tie back to source</t>
  </si>
  <si>
    <t>LEASES 101.1</t>
  </si>
  <si>
    <t>Double check formats</t>
  </si>
  <si>
    <t>Should not find these placeholder deprecation groups, which should have $0's across, if not have an issue.</t>
  </si>
  <si>
    <t>Change (Dollar in Cents) to (Dollar in 000's)</t>
  </si>
  <si>
    <t>Confirm Docket No …</t>
  </si>
  <si>
    <t>Confirm Witness …</t>
  </si>
  <si>
    <t>DOCKET No. 20240026-EI</t>
  </si>
  <si>
    <t xml:space="preserve">Witness: C. Aldazabal / J. Chronister / C. Heck / </t>
  </si>
  <si>
    <t xml:space="preserve">              R. Latta / K. Sparkman / K. Stryker /</t>
  </si>
  <si>
    <t xml:space="preserve">              C. Whitworth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</si>
</sst>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;;;"/>
    <numFmt numFmtId="165" formatCode="_(&quot;$&quot;* #,##0_);_(&quot;$&quot;* \(#,##0\);_(&quot;$&quot;* &quot;-&quot;??_);_(@_)"/>
    <numFmt numFmtId="166" formatCode="_(* #,##0_);_(* \(#,##0\);_(* &quot;-&quot;??_);_(@_)"/>
    <numFmt numFmtId="167" formatCode="0.0"/>
    <numFmt numFmtId="168" formatCode="0.000"/>
    <numFmt numFmtId="169" formatCode="0.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8" fillId="0" borderId="0"/>
    <xf numFmtId="0" fontId="13" fillId="0" borderId="0"/>
  </cellStyleXfs>
  <cellXfs count="162">
    <xf numFmtId="0" fontId="0" fillId="0" borderId="0" xfId="0"/>
    <xf numFmtId="166" fontId="3" fillId="3" borderId="0" xfId="3" applyNumberFormat="1" applyFont="1" applyFill="1" applyAlignment="1">
      <alignment horizontal="center"/>
    </xf>
    <xf numFmtId="166" fontId="1" fillId="3" borderId="0" xfId="3" applyNumberFormat="1" applyFont="1" applyFill="1"/>
    <xf numFmtId="166" fontId="1" fillId="0" borderId="0" xfId="3" applyNumberFormat="1" applyFont="1"/>
    <xf numFmtId="166" fontId="7" fillId="0" borderId="0" xfId="3" applyNumberFormat="1" applyFont="1" applyFill="1"/>
    <xf numFmtId="165" fontId="7" fillId="0" borderId="0" xfId="4" applyNumberFormat="1" applyFont="1" applyFill="1" applyProtection="1">
      <protection locked="0"/>
    </xf>
    <xf numFmtId="4" fontId="7" fillId="0" borderId="0" xfId="3" applyNumberFormat="1" applyFont="1" applyFill="1"/>
    <xf numFmtId="166" fontId="7" fillId="0" borderId="0" xfId="3" applyNumberFormat="1" applyFont="1" applyFill="1" applyAlignment="1">
      <alignment horizontal="center"/>
    </xf>
    <xf numFmtId="43" fontId="7" fillId="0" borderId="0" xfId="3" applyFont="1" applyFill="1" applyAlignment="1">
      <alignment horizontal="right"/>
    </xf>
    <xf numFmtId="43" fontId="7" fillId="0" borderId="0" xfId="3" applyFont="1" applyFill="1"/>
    <xf numFmtId="166" fontId="7" fillId="0" borderId="5" xfId="3" applyNumberFormat="1" applyFont="1" applyFill="1" applyBorder="1"/>
    <xf numFmtId="166" fontId="7" fillId="0" borderId="3" xfId="3" applyNumberFormat="1" applyFont="1" applyFill="1" applyBorder="1" applyAlignment="1">
      <alignment horizontal="right"/>
    </xf>
    <xf numFmtId="166" fontId="7" fillId="0" borderId="0" xfId="3" applyNumberFormat="1" applyFont="1" applyFill="1" applyAlignment="1">
      <alignment horizontal="right"/>
    </xf>
    <xf numFmtId="41" fontId="7" fillId="0" borderId="0" xfId="3" applyNumberFormat="1" applyFont="1" applyFill="1" applyAlignment="1" applyProtection="1">
      <alignment horizontal="right"/>
      <protection locked="0"/>
    </xf>
    <xf numFmtId="41" fontId="7" fillId="0" borderId="0" xfId="3" applyNumberFormat="1" applyFont="1" applyFill="1" applyAlignment="1">
      <alignment horizontal="right"/>
    </xf>
    <xf numFmtId="41" fontId="7" fillId="0" borderId="0" xfId="4" applyNumberFormat="1" applyFont="1" applyFill="1" applyAlignment="1" applyProtection="1">
      <alignment horizontal="right"/>
      <protection locked="0"/>
    </xf>
    <xf numFmtId="0" fontId="7" fillId="0" borderId="0" xfId="3" quotePrefix="1" applyNumberFormat="1" applyFont="1" applyFill="1" applyAlignment="1" applyProtection="1">
      <alignment horizontal="left"/>
      <protection locked="0"/>
    </xf>
    <xf numFmtId="166" fontId="7" fillId="0" borderId="3" xfId="3" applyNumberFormat="1" applyFont="1" applyFill="1" applyBorder="1"/>
    <xf numFmtId="166" fontId="7" fillId="0" borderId="4" xfId="3" applyNumberFormat="1" applyFont="1" applyFill="1" applyBorder="1"/>
    <xf numFmtId="43" fontId="7" fillId="0" borderId="1" xfId="3" quotePrefix="1" applyFont="1" applyFill="1" applyBorder="1" applyAlignment="1">
      <alignment horizontal="left"/>
    </xf>
    <xf numFmtId="41" fontId="7" fillId="0" borderId="0" xfId="4" applyNumberFormat="1" applyFont="1" applyFill="1" applyAlignment="1">
      <alignment horizontal="right"/>
    </xf>
    <xf numFmtId="41" fontId="7" fillId="0" borderId="3" xfId="3" applyNumberFormat="1" applyFont="1" applyFill="1" applyBorder="1" applyAlignment="1">
      <alignment horizontal="right"/>
    </xf>
    <xf numFmtId="166" fontId="7" fillId="0" borderId="0" xfId="3" quotePrefix="1" applyNumberFormat="1" applyFont="1" applyFill="1" applyAlignment="1">
      <alignment horizontal="center"/>
    </xf>
    <xf numFmtId="43" fontId="7" fillId="0" borderId="0" xfId="4" applyNumberFormat="1" applyFont="1" applyFill="1" applyProtection="1">
      <protection locked="0"/>
    </xf>
    <xf numFmtId="43" fontId="7" fillId="0" borderId="0" xfId="3" applyFont="1" applyFill="1" applyProtection="1">
      <protection locked="0"/>
    </xf>
    <xf numFmtId="166" fontId="7" fillId="0" borderId="4" xfId="3" applyNumberFormat="1" applyFont="1" applyFill="1" applyBorder="1" applyAlignment="1"/>
    <xf numFmtId="37" fontId="7" fillId="0" borderId="0" xfId="3" applyNumberFormat="1" applyFont="1" applyFill="1" applyAlignment="1">
      <alignment horizontal="center"/>
    </xf>
    <xf numFmtId="166" fontId="7" fillId="0" borderId="4" xfId="3" applyNumberFormat="1" applyFont="1" applyFill="1" applyBorder="1" applyAlignment="1">
      <alignment horizontal="right"/>
    </xf>
    <xf numFmtId="0" fontId="7" fillId="0" borderId="0" xfId="4" quotePrefix="1" applyNumberFormat="1" applyFont="1" applyFill="1" applyAlignment="1" applyProtection="1">
      <alignment horizontal="left"/>
      <protection locked="0"/>
    </xf>
    <xf numFmtId="0" fontId="7" fillId="0" borderId="0" xfId="3" applyNumberFormat="1" applyFont="1" applyFill="1" applyProtection="1">
      <protection locked="0"/>
    </xf>
    <xf numFmtId="165" fontId="7" fillId="0" borderId="0" xfId="3" applyNumberFormat="1" applyFont="1" applyFill="1" applyProtection="1">
      <protection locked="0"/>
    </xf>
    <xf numFmtId="0" fontId="7" fillId="0" borderId="0" xfId="3" applyNumberFormat="1" applyFont="1" applyFill="1"/>
    <xf numFmtId="165" fontId="7" fillId="0" borderId="0" xfId="3" applyNumberFormat="1" applyFont="1" applyFill="1"/>
    <xf numFmtId="0" fontId="7" fillId="0" borderId="0" xfId="4" applyNumberFormat="1" applyFont="1" applyFill="1" applyProtection="1">
      <protection locked="0"/>
    </xf>
    <xf numFmtId="166" fontId="7" fillId="0" borderId="0" xfId="3" applyNumberFormat="1" applyFont="1" applyFill="1" applyProtection="1">
      <protection locked="0"/>
    </xf>
    <xf numFmtId="0" fontId="7" fillId="0" borderId="0" xfId="3" applyNumberFormat="1" applyFont="1" applyFill="1" applyAlignment="1" applyProtection="1">
      <alignment horizontal="left"/>
      <protection locked="0"/>
    </xf>
    <xf numFmtId="166" fontId="7" fillId="0" borderId="0" xfId="3" applyNumberFormat="1" applyFont="1" applyFill="1" applyBorder="1"/>
    <xf numFmtId="0" fontId="3" fillId="0" borderId="0" xfId="3" applyNumberFormat="1" applyFont="1" applyFill="1" applyAlignment="1">
      <alignment horizontal="center"/>
    </xf>
    <xf numFmtId="43" fontId="3" fillId="0" borderId="5" xfId="3" applyFont="1" applyFill="1" applyBorder="1" applyAlignment="1">
      <alignment horizontal="center"/>
    </xf>
    <xf numFmtId="0" fontId="3" fillId="0" borderId="5" xfId="3" applyNumberFormat="1" applyFont="1" applyFill="1" applyBorder="1" applyAlignment="1">
      <alignment horizontal="center"/>
    </xf>
    <xf numFmtId="166" fontId="1" fillId="0" borderId="0" xfId="3" applyNumberFormat="1" applyFont="1" applyFill="1" applyAlignment="1">
      <alignment horizontal="right"/>
    </xf>
    <xf numFmtId="43" fontId="3" fillId="0" borderId="0" xfId="3" applyFont="1" applyFill="1" applyAlignment="1">
      <alignment horizontal="left"/>
    </xf>
    <xf numFmtId="166" fontId="3" fillId="0" borderId="9" xfId="3" applyNumberFormat="1" applyFont="1" applyFill="1" applyBorder="1"/>
    <xf numFmtId="166" fontId="3" fillId="0" borderId="10" xfId="3" applyNumberFormat="1" applyFont="1" applyFill="1" applyBorder="1"/>
    <xf numFmtId="166" fontId="1" fillId="3" borderId="0" xfId="3" applyNumberFormat="1" applyFont="1" applyFill="1" applyAlignment="1"/>
    <xf numFmtId="166" fontId="1" fillId="3" borderId="7" xfId="3" applyNumberFormat="1" applyFont="1" applyFill="1" applyBorder="1"/>
    <xf numFmtId="43" fontId="1" fillId="3" borderId="0" xfId="3" applyFont="1" applyFill="1"/>
    <xf numFmtId="166" fontId="3" fillId="0" borderId="0" xfId="3" applyNumberFormat="1" applyFont="1" applyFill="1"/>
    <xf numFmtId="166" fontId="3" fillId="0" borderId="7" xfId="3" applyNumberFormat="1" applyFont="1" applyFill="1" applyBorder="1"/>
    <xf numFmtId="166" fontId="3" fillId="0" borderId="6" xfId="3" applyNumberFormat="1" applyFont="1" applyFill="1" applyBorder="1"/>
    <xf numFmtId="43" fontId="3" fillId="0" borderId="0" xfId="3" quotePrefix="1" applyFont="1" applyFill="1" applyAlignment="1">
      <alignment horizontal="left"/>
    </xf>
    <xf numFmtId="43" fontId="5" fillId="0" borderId="0" xfId="3" quotePrefix="1" applyFont="1" applyFill="1" applyAlignment="1">
      <alignment horizontal="left"/>
    </xf>
    <xf numFmtId="0" fontId="3" fillId="0" borderId="0" xfId="3" applyNumberFormat="1" applyFont="1" applyFill="1" applyAlignment="1"/>
    <xf numFmtId="43" fontId="1" fillId="0" borderId="0" xfId="3" applyFont="1" applyFill="1" applyAlignment="1"/>
    <xf numFmtId="43" fontId="1" fillId="0" borderId="0" xfId="3" quotePrefix="1" applyFont="1" applyFill="1" applyAlignment="1">
      <alignment horizontal="left"/>
    </xf>
    <xf numFmtId="166" fontId="1" fillId="0" borderId="0" xfId="3" applyNumberFormat="1" applyFont="1" applyFill="1"/>
    <xf numFmtId="166" fontId="1" fillId="0" borderId="11" xfId="3" applyNumberFormat="1" applyFont="1" applyFill="1" applyBorder="1"/>
    <xf numFmtId="166" fontId="1" fillId="0" borderId="7" xfId="3" applyNumberFormat="1" applyFont="1" applyBorder="1"/>
    <xf numFmtId="166" fontId="1" fillId="9" borderId="0" xfId="3" applyNumberFormat="1" applyFont="1" applyFill="1"/>
    <xf numFmtId="43" fontId="1" fillId="3" borderId="7" xfId="3" applyFont="1" applyFill="1" applyBorder="1"/>
    <xf numFmtId="166" fontId="7" fillId="0" borderId="0" xfId="3" quotePrefix="1" applyNumberFormat="1" applyFont="1" applyFill="1" applyAlignment="1">
      <alignment horizontal="right"/>
    </xf>
    <xf numFmtId="166" fontId="7" fillId="0" borderId="9" xfId="3" applyNumberFormat="1" applyFont="1" applyFill="1" applyBorder="1"/>
    <xf numFmtId="166" fontId="7" fillId="0" borderId="9" xfId="3" applyNumberFormat="1" applyFont="1" applyFill="1" applyBorder="1" applyAlignment="1">
      <alignment horizontal="center"/>
    </xf>
    <xf numFmtId="166" fontId="7" fillId="0" borderId="9" xfId="3" applyNumberFormat="1" applyFont="1" applyFill="1" applyBorder="1" applyAlignment="1">
      <alignment horizontal="right"/>
    </xf>
    <xf numFmtId="166" fontId="7" fillId="0" borderId="0" xfId="3" applyNumberFormat="1" applyFont="1" applyFill="1" applyBorder="1" applyAlignment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4" fillId="4" borderId="12" xfId="0" applyFont="1" applyFill="1" applyBorder="1" applyAlignment="1">
      <alignment horizontal="center"/>
    </xf>
    <xf numFmtId="0" fontId="9" fillId="4" borderId="13" xfId="0" applyFont="1" applyFill="1" applyBorder="1"/>
    <xf numFmtId="0" fontId="11" fillId="0" borderId="0" xfId="1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7" xfId="0" applyFont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4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1" fillId="0" borderId="0" xfId="0" applyFont="1"/>
    <xf numFmtId="166" fontId="1" fillId="7" borderId="0" xfId="3" applyNumberFormat="1" applyFont="1" applyFill="1"/>
    <xf numFmtId="0" fontId="1" fillId="0" borderId="0" xfId="0" applyFont="1" applyAlignment="1">
      <alignment horizontal="right"/>
    </xf>
    <xf numFmtId="2" fontId="7" fillId="0" borderId="0" xfId="3" applyNumberFormat="1" applyFont="1" applyFill="1" applyProtection="1">
      <protection locked="0"/>
    </xf>
    <xf numFmtId="2" fontId="7" fillId="0" borderId="0" xfId="4" applyNumberFormat="1" applyFont="1" applyFill="1" applyProtection="1">
      <protection locked="0"/>
    </xf>
    <xf numFmtId="0" fontId="14" fillId="2" borderId="0" xfId="0" applyFont="1" applyFill="1"/>
    <xf numFmtId="0" fontId="15" fillId="0" borderId="0" xfId="0" applyFont="1"/>
    <xf numFmtId="166" fontId="15" fillId="0" borderId="0" xfId="3" applyNumberFormat="1" applyFont="1"/>
    <xf numFmtId="166" fontId="15" fillId="0" borderId="7" xfId="3" applyNumberFormat="1" applyFont="1" applyBorder="1"/>
    <xf numFmtId="49" fontId="15" fillId="0" borderId="0" xfId="0" applyNumberFormat="1" applyFont="1"/>
    <xf numFmtId="43" fontId="3" fillId="2" borderId="0" xfId="3" applyFont="1" applyFill="1" applyAlignment="1">
      <alignment horizontal="right"/>
    </xf>
    <xf numFmtId="169" fontId="3" fillId="0" borderId="0" xfId="3" applyNumberFormat="1" applyFont="1" applyAlignment="1">
      <alignment horizontal="center"/>
    </xf>
    <xf numFmtId="169" fontId="3" fillId="4" borderId="0" xfId="3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166" fontId="3" fillId="0" borderId="0" xfId="0" applyNumberFormat="1" applyFont="1"/>
    <xf numFmtId="0" fontId="3" fillId="0" borderId="7" xfId="0" applyFont="1" applyBorder="1"/>
    <xf numFmtId="166" fontId="3" fillId="0" borderId="0" xfId="3" applyNumberFormat="1" applyFont="1"/>
    <xf numFmtId="166" fontId="3" fillId="0" borderId="9" xfId="0" applyNumberFormat="1" applyFont="1" applyBorder="1"/>
    <xf numFmtId="166" fontId="3" fillId="0" borderId="10" xfId="0" applyNumberFormat="1" applyFont="1" applyBorder="1"/>
    <xf numFmtId="0" fontId="3" fillId="2" borderId="0" xfId="0" applyFont="1" applyFill="1" applyAlignment="1">
      <alignment horizontal="left"/>
    </xf>
    <xf numFmtId="0" fontId="15" fillId="0" borderId="7" xfId="0" applyFont="1" applyBorder="1"/>
    <xf numFmtId="0" fontId="7" fillId="0" borderId="1" xfId="1" applyFont="1" applyFill="1" applyBorder="1"/>
    <xf numFmtId="0" fontId="7" fillId="0" borderId="0" xfId="1" applyFont="1" applyFill="1"/>
    <xf numFmtId="0" fontId="7" fillId="0" borderId="0" xfId="1" applyFont="1" applyFill="1" applyAlignment="1">
      <alignment horizontal="left"/>
    </xf>
    <xf numFmtId="0" fontId="7" fillId="0" borderId="0" xfId="1" applyFont="1" applyFill="1" applyAlignment="1">
      <alignment horizontal="right"/>
    </xf>
    <xf numFmtId="0" fontId="7" fillId="0" borderId="0" xfId="1" quotePrefix="1" applyFont="1" applyFill="1" applyAlignment="1">
      <alignment horizontal="center"/>
    </xf>
    <xf numFmtId="0" fontId="7" fillId="0" borderId="0" xfId="1" quotePrefix="1" applyFont="1" applyFill="1" applyAlignment="1">
      <alignment horizontal="right"/>
    </xf>
    <xf numFmtId="0" fontId="7" fillId="0" borderId="0" xfId="1" applyFont="1" applyFill="1" applyAlignment="1">
      <alignment horizontal="center"/>
    </xf>
    <xf numFmtId="0" fontId="7" fillId="0" borderId="1" xfId="1" applyFont="1" applyFill="1" applyBorder="1" applyAlignment="1">
      <alignment horizontal="center"/>
    </xf>
    <xf numFmtId="14" fontId="7" fillId="0" borderId="1" xfId="1" applyNumberFormat="1" applyFont="1" applyFill="1" applyBorder="1" applyAlignment="1">
      <alignment horizontal="center"/>
    </xf>
    <xf numFmtId="14" fontId="7" fillId="0" borderId="1" xfId="1" quotePrefix="1" applyNumberFormat="1" applyFont="1" applyFill="1" applyBorder="1" applyAlignment="1">
      <alignment horizontal="center"/>
    </xf>
    <xf numFmtId="0" fontId="7" fillId="0" borderId="1" xfId="1" quotePrefix="1" applyFont="1" applyFill="1" applyBorder="1" applyAlignment="1">
      <alignment horizontal="center"/>
    </xf>
    <xf numFmtId="0" fontId="7" fillId="0" borderId="1" xfId="1" quotePrefix="1" applyFont="1" applyFill="1" applyBorder="1" applyAlignment="1">
      <alignment horizontal="right"/>
    </xf>
    <xf numFmtId="0" fontId="7" fillId="0" borderId="0" xfId="2" applyFont="1" applyFill="1" applyAlignment="1">
      <alignment wrapText="1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/>
    <xf numFmtId="164" fontId="7" fillId="0" borderId="0" xfId="1" applyNumberFormat="1" applyFont="1" applyFill="1" applyAlignment="1">
      <alignment horizontal="right"/>
    </xf>
    <xf numFmtId="2" fontId="7" fillId="0" borderId="0" xfId="1" applyNumberFormat="1" applyFont="1" applyFill="1" applyAlignment="1">
      <alignment horizontal="center"/>
    </xf>
    <xf numFmtId="2" fontId="7" fillId="0" borderId="0" xfId="1" applyNumberFormat="1" applyFont="1" applyFill="1"/>
    <xf numFmtId="0" fontId="7" fillId="0" borderId="0" xfId="1" applyFont="1" applyFill="1" applyProtection="1">
      <protection locked="0"/>
    </xf>
    <xf numFmtId="5" fontId="7" fillId="0" borderId="0" xfId="1" applyNumberFormat="1" applyFont="1" applyFill="1"/>
    <xf numFmtId="0" fontId="7" fillId="0" borderId="0" xfId="2" quotePrefix="1" applyFont="1" applyFill="1" applyAlignment="1">
      <alignment horizontal="right" wrapText="1"/>
    </xf>
    <xf numFmtId="167" fontId="7" fillId="0" borderId="0" xfId="1" applyNumberFormat="1" applyFont="1" applyFill="1" applyAlignment="1">
      <alignment horizontal="center"/>
    </xf>
    <xf numFmtId="0" fontId="7" fillId="0" borderId="1" xfId="1" applyFont="1" applyFill="1" applyBorder="1" applyAlignment="1">
      <alignment horizontal="right"/>
    </xf>
    <xf numFmtId="1" fontId="7" fillId="0" borderId="0" xfId="1" applyNumberFormat="1" applyFont="1" applyFill="1"/>
    <xf numFmtId="0" fontId="7" fillId="0" borderId="2" xfId="1" applyFont="1" applyFill="1" applyBorder="1" applyAlignment="1">
      <alignment horizontal="left"/>
    </xf>
    <xf numFmtId="0" fontId="7" fillId="0" borderId="2" xfId="1" applyFont="1" applyFill="1" applyBorder="1" applyAlignment="1">
      <alignment horizontal="right"/>
    </xf>
    <xf numFmtId="5" fontId="7" fillId="0" borderId="0" xfId="1" quotePrefix="1" applyNumberFormat="1" applyFont="1" applyFill="1" applyAlignment="1">
      <alignment horizontal="left"/>
    </xf>
    <xf numFmtId="0" fontId="7" fillId="0" borderId="0" xfId="1" quotePrefix="1" applyFont="1" applyFill="1" applyAlignment="1">
      <alignment horizontal="left"/>
    </xf>
    <xf numFmtId="2" fontId="7" fillId="0" borderId="0" xfId="1" applyNumberFormat="1" applyFont="1" applyFill="1" applyAlignment="1">
      <alignment horizontal="right"/>
    </xf>
    <xf numFmtId="14" fontId="7" fillId="0" borderId="0" xfId="1" applyNumberFormat="1" applyFont="1" applyFill="1" applyAlignment="1">
      <alignment horizontal="center"/>
    </xf>
    <xf numFmtId="0" fontId="7" fillId="0" borderId="3" xfId="1" applyFont="1" applyFill="1" applyBorder="1"/>
    <xf numFmtId="168" fontId="7" fillId="0" borderId="0" xfId="1" applyNumberFormat="1" applyFont="1" applyFill="1" applyAlignment="1">
      <alignment horizontal="right"/>
    </xf>
    <xf numFmtId="41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43" fontId="7" fillId="0" borderId="0" xfId="1" applyNumberFormat="1" applyFont="1" applyFill="1" applyAlignment="1">
      <alignment horizontal="right"/>
    </xf>
    <xf numFmtId="14" fontId="7" fillId="0" borderId="0" xfId="1" quotePrefix="1" applyNumberFormat="1" applyFont="1" applyFill="1" applyAlignment="1">
      <alignment horizontal="center"/>
    </xf>
    <xf numFmtId="166" fontId="7" fillId="0" borderId="0" xfId="1" applyNumberFormat="1" applyFont="1" applyFill="1"/>
    <xf numFmtId="41" fontId="7" fillId="0" borderId="0" xfId="1" applyNumberFormat="1" applyFont="1" applyFill="1" applyAlignment="1">
      <alignment horizontal="center"/>
    </xf>
    <xf numFmtId="43" fontId="7" fillId="0" borderId="0" xfId="1" applyNumberFormat="1" applyFont="1" applyFill="1" applyAlignment="1">
      <alignment horizontal="center"/>
    </xf>
    <xf numFmtId="0" fontId="7" fillId="0" borderId="0" xfId="9" applyFont="1" applyFill="1"/>
    <xf numFmtId="0" fontId="7" fillId="0" borderId="0" xfId="9" applyFont="1" applyFill="1" applyProtection="1">
      <protection locked="0"/>
    </xf>
    <xf numFmtId="5" fontId="7" fillId="0" borderId="0" xfId="9" applyNumberFormat="1" applyFont="1" applyFill="1"/>
    <xf numFmtId="37" fontId="7" fillId="0" borderId="0" xfId="1" applyNumberFormat="1" applyFont="1" applyFill="1" applyAlignment="1">
      <alignment horizontal="center"/>
    </xf>
    <xf numFmtId="37" fontId="7" fillId="0" borderId="0" xfId="1" applyNumberFormat="1" applyFont="1" applyFill="1" applyAlignment="1">
      <alignment horizontal="right"/>
    </xf>
    <xf numFmtId="5" fontId="7" fillId="0" borderId="0" xfId="1" applyNumberFormat="1" applyFont="1" applyFill="1" applyAlignment="1">
      <alignment horizontal="right"/>
    </xf>
    <xf numFmtId="0" fontId="7" fillId="0" borderId="0" xfId="5" quotePrefix="1" applyFont="1" applyFill="1" applyAlignment="1">
      <alignment horizontal="left"/>
    </xf>
    <xf numFmtId="166" fontId="7" fillId="0" borderId="9" xfId="1" applyNumberFormat="1" applyFont="1" applyFill="1" applyBorder="1"/>
    <xf numFmtId="41" fontId="7" fillId="0" borderId="0" xfId="1" applyNumberFormat="1" applyFont="1" applyFill="1"/>
    <xf numFmtId="0" fontId="7" fillId="0" borderId="1" xfId="1" quotePrefix="1" applyFont="1" applyFill="1" applyBorder="1" applyAlignment="1">
      <alignment horizontal="left"/>
    </xf>
    <xf numFmtId="164" fontId="7" fillId="0" borderId="1" xfId="1" applyNumberFormat="1" applyFont="1" applyFill="1" applyBorder="1" applyAlignment="1">
      <alignment horizontal="center"/>
    </xf>
    <xf numFmtId="0" fontId="1" fillId="0" borderId="0" xfId="9" applyFont="1" applyFill="1"/>
    <xf numFmtId="0" fontId="7" fillId="0" borderId="0" xfId="6" quotePrefix="1" applyFont="1" applyFill="1" applyAlignment="1">
      <alignment horizontal="left"/>
    </xf>
    <xf numFmtId="0" fontId="7" fillId="0" borderId="1" xfId="1" quotePrefix="1" applyFont="1" applyFill="1" applyBorder="1"/>
  </cellXfs>
  <cellStyles count="10">
    <cellStyle name="Comma 2" xfId="3" xr:uid="{B3C3048C-2969-4554-A069-7EF1DFBA1D78}"/>
    <cellStyle name="Currency 2" xfId="4" xr:uid="{9FCECC41-900A-48A4-A512-D3776AC2BE6A}"/>
    <cellStyle name="Normal" xfId="0" builtinId="0"/>
    <cellStyle name="Normal 2" xfId="8" xr:uid="{61B1E095-0630-4ECE-B1F7-CB8A297574BA}"/>
    <cellStyle name="Normal 2 2 6" xfId="1" xr:uid="{8A4A7D00-C848-480A-815F-DE3659733302}"/>
    <cellStyle name="Normal 2 2 6 4 5" xfId="5" xr:uid="{0CC7B726-2FE8-454D-AC3F-17286987FC8B}"/>
    <cellStyle name="Normal 25" xfId="6" xr:uid="{3C3B2802-2132-40F1-80E5-66C304C104BF}"/>
    <cellStyle name="Normal 3" xfId="9" xr:uid="{6F1D13E6-83D3-473E-9953-CA9C9750D148}"/>
    <cellStyle name="Normal 30" xfId="7" xr:uid="{DE622462-C9A5-40DB-9B2C-F3B0E919F436}"/>
    <cellStyle name="Normal_Sheet1 2" xfId="2" xr:uid="{35264B82-B089-4EE3-B545-5844D434D7B6}"/>
  </cellStyles>
  <dxfs count="4"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BC4A8154-EA02-4694-B684-238920CFEB9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468630</xdr:colOff>
      <xdr:row>18</xdr:row>
      <xdr:rowOff>171041</xdr:rowOff>
    </xdr:from>
    <xdr:to>
      <xdr:col>14</xdr:col>
      <xdr:colOff>992634</xdr:colOff>
      <xdr:row>24</xdr:row>
      <xdr:rowOff>43623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CFE4A8-2CAB-C6E7-0F22-DC5B53741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630" y="3028541"/>
          <a:ext cx="9058404" cy="1015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A6A93-9B91-41BB-A800-7B86B8340663}">
  <sheetPr codeName="Sheet75">
    <tabColor rgb="FF0000FF"/>
  </sheetPr>
  <dimension ref="A1:R580"/>
  <sheetViews>
    <sheetView tabSelected="1" view="pageBreakPreview" zoomScaleNormal="100" zoomScaleSheetLayoutView="100" workbookViewId="0">
      <selection activeCell="R118" sqref="R118"/>
    </sheetView>
  </sheetViews>
  <sheetFormatPr defaultColWidth="9.109375" defaultRowHeight="13.2" x14ac:dyDescent="0.25"/>
  <cols>
    <col min="1" max="2" width="4.6640625" style="110" customWidth="1"/>
    <col min="3" max="3" width="10.5546875" style="110" customWidth="1"/>
    <col min="4" max="4" width="33.33203125" style="110" customWidth="1"/>
    <col min="5" max="5" width="2" style="110" customWidth="1"/>
    <col min="6" max="6" width="10.33203125" style="110" customWidth="1"/>
    <col min="7" max="7" width="2" style="110" customWidth="1"/>
    <col min="8" max="8" width="14.6640625" style="110" customWidth="1"/>
    <col min="9" max="9" width="2" style="110" customWidth="1"/>
    <col min="10" max="10" width="14.6640625" style="110" customWidth="1"/>
    <col min="11" max="11" width="2" style="110" customWidth="1"/>
    <col min="12" max="12" width="14.6640625" style="110" customWidth="1"/>
    <col min="13" max="13" width="2" style="110" customWidth="1"/>
    <col min="14" max="14" width="14.6640625" style="110" customWidth="1"/>
    <col min="15" max="15" width="2" style="110" customWidth="1"/>
    <col min="16" max="16" width="14.6640625" style="110" customWidth="1"/>
    <col min="17" max="17" width="1.6640625" style="110" customWidth="1"/>
    <col min="18" max="18" width="16.6640625" style="110" customWidth="1"/>
    <col min="19" max="16384" width="9.109375" style="159"/>
  </cols>
  <sheetData>
    <row r="1" spans="1:18" ht="13.8" thickBot="1" x14ac:dyDescent="0.3">
      <c r="A1" s="157" t="s">
        <v>0</v>
      </c>
      <c r="B1" s="109"/>
      <c r="C1" s="109"/>
      <c r="D1" s="109"/>
      <c r="E1" s="109"/>
      <c r="F1" s="109"/>
      <c r="G1" s="109" t="s">
        <v>1</v>
      </c>
      <c r="H1" s="109"/>
      <c r="I1" s="109"/>
      <c r="J1" s="109"/>
      <c r="K1" s="109"/>
      <c r="L1" s="109"/>
      <c r="M1" s="109"/>
      <c r="N1" s="109"/>
      <c r="O1" s="131"/>
      <c r="P1" s="158">
        <v>30</v>
      </c>
      <c r="Q1" s="109"/>
      <c r="R1" s="109" t="str">
        <f>"Page 11 of " &amp; P$1</f>
        <v>Page 11 of 30</v>
      </c>
    </row>
    <row r="2" spans="1:18" x14ac:dyDescent="0.25">
      <c r="A2" s="110" t="s">
        <v>2</v>
      </c>
      <c r="E2" s="112" t="s">
        <v>3</v>
      </c>
      <c r="F2" s="136" t="s">
        <v>4</v>
      </c>
      <c r="J2" s="133"/>
      <c r="K2" s="133"/>
      <c r="M2" s="133"/>
      <c r="N2" s="133"/>
      <c r="O2" s="134"/>
      <c r="P2" s="133" t="s">
        <v>5</v>
      </c>
      <c r="R2" s="111"/>
    </row>
    <row r="3" spans="1:18" x14ac:dyDescent="0.25">
      <c r="F3" s="110" t="s">
        <v>6</v>
      </c>
      <c r="J3" s="112"/>
      <c r="K3" s="111"/>
      <c r="N3" s="112"/>
      <c r="O3" s="112"/>
      <c r="P3" s="160" t="s">
        <v>7</v>
      </c>
      <c r="R3" s="112"/>
    </row>
    <row r="4" spans="1:18" x14ac:dyDescent="0.25">
      <c r="A4" s="110" t="s">
        <v>8</v>
      </c>
      <c r="J4" s="112"/>
      <c r="K4" s="111"/>
      <c r="L4" s="112"/>
      <c r="O4" s="112" t="s">
        <v>9</v>
      </c>
      <c r="P4" s="160" t="s">
        <v>10</v>
      </c>
      <c r="R4" s="112"/>
    </row>
    <row r="5" spans="1:18" x14ac:dyDescent="0.25">
      <c r="J5" s="112"/>
      <c r="K5" s="111"/>
      <c r="L5" s="112"/>
      <c r="O5" s="112"/>
      <c r="P5" s="160" t="s">
        <v>11</v>
      </c>
      <c r="R5" s="112"/>
    </row>
    <row r="6" spans="1:18" x14ac:dyDescent="0.25">
      <c r="J6" s="112"/>
      <c r="K6" s="111"/>
      <c r="L6" s="112"/>
      <c r="O6" s="112"/>
      <c r="P6" s="160" t="s">
        <v>573</v>
      </c>
      <c r="R6" s="112"/>
    </row>
    <row r="7" spans="1:18" x14ac:dyDescent="0.25">
      <c r="J7" s="112"/>
      <c r="K7" s="111"/>
      <c r="L7" s="112"/>
      <c r="O7" s="112"/>
      <c r="P7" s="160" t="s">
        <v>574</v>
      </c>
      <c r="R7" s="112"/>
    </row>
    <row r="8" spans="1:18" ht="13.8" thickBot="1" x14ac:dyDescent="0.3">
      <c r="A8" s="157" t="s">
        <v>572</v>
      </c>
      <c r="B8" s="109"/>
      <c r="C8" s="109"/>
      <c r="D8" s="109"/>
      <c r="E8" s="109"/>
      <c r="F8" s="109"/>
      <c r="G8" s="109"/>
      <c r="H8" s="116" t="s">
        <v>12</v>
      </c>
      <c r="I8" s="109"/>
      <c r="J8" s="109"/>
      <c r="K8" s="109"/>
      <c r="L8" s="109"/>
      <c r="M8" s="109"/>
      <c r="N8" s="109"/>
      <c r="O8" s="131"/>
      <c r="P8" s="161" t="s">
        <v>575</v>
      </c>
      <c r="Q8" s="109"/>
      <c r="R8" s="109"/>
    </row>
    <row r="9" spans="1:18" x14ac:dyDescent="0.25"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4"/>
      <c r="P9" s="113"/>
      <c r="Q9" s="113"/>
      <c r="R9" s="113"/>
    </row>
    <row r="10" spans="1:18" x14ac:dyDescent="0.25">
      <c r="C10" s="113" t="s">
        <v>13</v>
      </c>
      <c r="D10" s="113" t="s">
        <v>14</v>
      </c>
      <c r="E10" s="113"/>
      <c r="F10" s="113" t="s">
        <v>15</v>
      </c>
      <c r="G10" s="113"/>
      <c r="H10" s="113" t="s">
        <v>16</v>
      </c>
      <c r="I10" s="113"/>
      <c r="J10" s="115" t="s">
        <v>17</v>
      </c>
      <c r="K10" s="115"/>
      <c r="L10" s="113" t="s">
        <v>18</v>
      </c>
      <c r="M10" s="113"/>
      <c r="N10" s="113" t="s">
        <v>19</v>
      </c>
      <c r="O10" s="114"/>
      <c r="P10" s="113" t="s">
        <v>20</v>
      </c>
      <c r="Q10" s="113"/>
      <c r="R10" s="113" t="s">
        <v>21</v>
      </c>
    </row>
    <row r="11" spans="1:18" x14ac:dyDescent="0.25">
      <c r="C11" s="115" t="s">
        <v>22</v>
      </c>
      <c r="D11" s="115" t="s">
        <v>22</v>
      </c>
      <c r="F11" s="115" t="s">
        <v>23</v>
      </c>
      <c r="G11" s="115"/>
      <c r="H11" s="113" t="s">
        <v>24</v>
      </c>
      <c r="I11" s="115"/>
      <c r="J11" s="113" t="s">
        <v>25</v>
      </c>
      <c r="K11" s="115"/>
      <c r="L11" s="115" t="s">
        <v>25</v>
      </c>
      <c r="M11" s="115"/>
      <c r="O11" s="112"/>
      <c r="P11" s="115" t="s">
        <v>24</v>
      </c>
      <c r="R11" s="115"/>
    </row>
    <row r="12" spans="1:18" x14ac:dyDescent="0.25">
      <c r="A12" s="115" t="s">
        <v>26</v>
      </c>
      <c r="B12" s="115"/>
      <c r="C12" s="115" t="s">
        <v>27</v>
      </c>
      <c r="D12" s="115" t="s">
        <v>27</v>
      </c>
      <c r="E12" s="113"/>
      <c r="F12" s="115" t="s">
        <v>28</v>
      </c>
      <c r="G12" s="115"/>
      <c r="H12" s="115" t="s">
        <v>29</v>
      </c>
      <c r="I12" s="115"/>
      <c r="J12" s="115" t="s">
        <v>24</v>
      </c>
      <c r="K12" s="113"/>
      <c r="L12" s="115" t="s">
        <v>24</v>
      </c>
      <c r="M12" s="111"/>
      <c r="N12" s="115" t="s">
        <v>30</v>
      </c>
      <c r="O12" s="114"/>
      <c r="P12" s="113" t="s">
        <v>29</v>
      </c>
      <c r="Q12" s="113"/>
      <c r="R12" s="115" t="s">
        <v>31</v>
      </c>
    </row>
    <row r="13" spans="1:18" ht="13.8" thickBot="1" x14ac:dyDescent="0.3">
      <c r="A13" s="116" t="s">
        <v>32</v>
      </c>
      <c r="B13" s="116"/>
      <c r="C13" s="116" t="s">
        <v>33</v>
      </c>
      <c r="D13" s="116" t="s">
        <v>34</v>
      </c>
      <c r="E13" s="116"/>
      <c r="F13" s="117" t="s">
        <v>35</v>
      </c>
      <c r="G13" s="117"/>
      <c r="H13" s="117" t="s">
        <v>36</v>
      </c>
      <c r="I13" s="118"/>
      <c r="J13" s="117" t="s">
        <v>37</v>
      </c>
      <c r="K13" s="118"/>
      <c r="L13" s="118" t="s">
        <v>38</v>
      </c>
      <c r="M13" s="119"/>
      <c r="N13" s="119" t="s">
        <v>39</v>
      </c>
      <c r="O13" s="120"/>
      <c r="P13" s="119" t="s">
        <v>40</v>
      </c>
      <c r="Q13" s="119"/>
      <c r="R13" s="119" t="s">
        <v>41</v>
      </c>
    </row>
    <row r="14" spans="1:18" x14ac:dyDescent="0.25">
      <c r="A14" s="115">
        <v>1</v>
      </c>
      <c r="B14" s="121"/>
      <c r="N14" s="122">
        <v>6</v>
      </c>
      <c r="O14" s="112"/>
    </row>
    <row r="15" spans="1:18" x14ac:dyDescent="0.25">
      <c r="A15" s="115">
        <f>A14+1</f>
        <v>2</v>
      </c>
      <c r="B15" s="121"/>
      <c r="D15" s="110" t="s">
        <v>42</v>
      </c>
      <c r="F15" s="122">
        <v>24</v>
      </c>
      <c r="G15" s="123"/>
      <c r="H15" s="122">
        <v>3</v>
      </c>
      <c r="I15" s="123"/>
      <c r="J15" s="122">
        <v>4</v>
      </c>
      <c r="K15" s="123"/>
      <c r="L15" s="122">
        <v>5</v>
      </c>
      <c r="M15" s="123"/>
      <c r="N15" s="122">
        <v>7</v>
      </c>
      <c r="O15" s="124"/>
      <c r="P15" s="122">
        <v>8</v>
      </c>
      <c r="Q15" s="123"/>
      <c r="R15" s="122">
        <v>9</v>
      </c>
    </row>
    <row r="16" spans="1:18" x14ac:dyDescent="0.25">
      <c r="A16" s="115">
        <f t="shared" ref="A16:A57" si="0">A15+1</f>
        <v>3</v>
      </c>
      <c r="B16" s="121"/>
      <c r="D16" s="110" t="s">
        <v>43</v>
      </c>
      <c r="O16" s="112"/>
    </row>
    <row r="17" spans="1:18" x14ac:dyDescent="0.25">
      <c r="A17" s="115">
        <f t="shared" si="0"/>
        <v>4</v>
      </c>
      <c r="B17" s="121"/>
      <c r="D17" s="110" t="s">
        <v>44</v>
      </c>
      <c r="H17" s="5"/>
      <c r="I17" s="5"/>
      <c r="J17" s="4"/>
      <c r="K17" s="4"/>
      <c r="L17" s="4"/>
      <c r="M17" s="4"/>
      <c r="N17" s="4"/>
      <c r="O17" s="12"/>
      <c r="P17" s="6"/>
      <c r="Q17" s="6"/>
      <c r="R17" s="4"/>
    </row>
    <row r="18" spans="1:18" x14ac:dyDescent="0.25">
      <c r="A18" s="115">
        <f t="shared" si="0"/>
        <v>5</v>
      </c>
      <c r="B18" s="121"/>
      <c r="C18" s="115">
        <v>31140</v>
      </c>
      <c r="D18" s="110" t="s">
        <v>45</v>
      </c>
      <c r="F18" s="125">
        <f>VLOOKUP($C18,'ASDR FY1'!$A:$X,F$15,FALSE)*100</f>
        <v>3.2</v>
      </c>
      <c r="G18" s="112"/>
      <c r="H18" s="7">
        <f>VLOOKUP($C18,'ASDR FY1'!$A:$X,H$15,FALSE)/1000</f>
        <v>280889.85793000006</v>
      </c>
      <c r="I18" s="8"/>
      <c r="J18" s="7">
        <f>VLOOKUP($C18,'ASDR FY1'!$A:$X,J$15,FALSE)/1000</f>
        <v>92.084220000000002</v>
      </c>
      <c r="K18" s="9"/>
      <c r="L18" s="7">
        <f>VLOOKUP($C18,'ASDR FY1'!$A:$X,L$15,FALSE)/1000</f>
        <v>-18.41685</v>
      </c>
      <c r="M18" s="9"/>
      <c r="N18" s="7">
        <f>VLOOKUP($C18,'ASDR FY1'!$A:$X,N$14,FALSE)/1000+VLOOKUP($C18,'ASDR FY1'!$A:$X,N$15,FALSE)/1000</f>
        <v>0</v>
      </c>
      <c r="O18" s="8"/>
      <c r="P18" s="7">
        <f>SUM(H18,J18,L18,N18)</f>
        <v>280963.5253000001</v>
      </c>
      <c r="Q18" s="9"/>
      <c r="R18" s="7">
        <f>VLOOKUP($C18,'ASDR FY1'!$A:$X,R$15,FALSE)/1000</f>
        <v>280953.93118000001</v>
      </c>
    </row>
    <row r="19" spans="1:18" x14ac:dyDescent="0.25">
      <c r="A19" s="115">
        <f t="shared" si="0"/>
        <v>6</v>
      </c>
      <c r="B19" s="121"/>
      <c r="C19" s="115">
        <v>31240</v>
      </c>
      <c r="D19" s="110" t="s">
        <v>46</v>
      </c>
      <c r="F19" s="125">
        <f>VLOOKUP($C19,'ASDR FY1'!$A:$X,F$15,FALSE)*100</f>
        <v>4.5999999999999996</v>
      </c>
      <c r="G19" s="112"/>
      <c r="H19" s="7">
        <f>VLOOKUP($C19,'ASDR FY1'!$A:$X,H$15,FALSE)/1000</f>
        <v>189629.30547999989</v>
      </c>
      <c r="I19" s="8"/>
      <c r="J19" s="7">
        <f>VLOOKUP($C19,'ASDR FY1'!$A:$X,J$15,FALSE)/1000</f>
        <v>10124.203750000001</v>
      </c>
      <c r="K19" s="9"/>
      <c r="L19" s="7">
        <f>VLOOKUP($C19,'ASDR FY1'!$A:$X,L$15,FALSE)/1000</f>
        <v>-2024.84076</v>
      </c>
      <c r="M19" s="9"/>
      <c r="N19" s="7">
        <f>VLOOKUP($C19,'ASDR FY1'!$A:$X,N$14,FALSE)/1000+VLOOKUP($C19,'ASDR FY1'!$A:$X,N$15,FALSE)/1000</f>
        <v>0</v>
      </c>
      <c r="O19" s="8"/>
      <c r="P19" s="7">
        <f>SUM(H19,J19,L19,N19)</f>
        <v>197728.66846999992</v>
      </c>
      <c r="Q19" s="9"/>
      <c r="R19" s="7">
        <f>VLOOKUP($C19,'ASDR FY1'!$A:$X,R$15,FALSE)/1000</f>
        <v>194282.90558000002</v>
      </c>
    </row>
    <row r="20" spans="1:18" x14ac:dyDescent="0.25">
      <c r="A20" s="115">
        <f t="shared" si="0"/>
        <v>7</v>
      </c>
      <c r="B20" s="121"/>
      <c r="C20" s="115">
        <v>31440</v>
      </c>
      <c r="D20" s="110" t="s">
        <v>47</v>
      </c>
      <c r="F20" s="125">
        <f>VLOOKUP($C20,'ASDR FY1'!$A:$X,F$15,FALSE)*100</f>
        <v>3.1</v>
      </c>
      <c r="G20" s="112"/>
      <c r="H20" s="7">
        <f>VLOOKUP($C20,'ASDR FY1'!$A:$X,H$15,FALSE)/1000</f>
        <v>20686.43304</v>
      </c>
      <c r="I20" s="8"/>
      <c r="J20" s="7">
        <f>VLOOKUP($C20,'ASDR FY1'!$A:$X,J$15,FALSE)/1000</f>
        <v>10124.203750000001</v>
      </c>
      <c r="K20" s="9"/>
      <c r="L20" s="7">
        <f>VLOOKUP($C20,'ASDR FY1'!$A:$X,L$15,FALSE)/1000</f>
        <v>-2024.84076</v>
      </c>
      <c r="M20" s="9"/>
      <c r="N20" s="7">
        <f>VLOOKUP($C20,'ASDR FY1'!$A:$X,N$14,FALSE)/1000+VLOOKUP($C20,'ASDR FY1'!$A:$X,N$15,FALSE)/1000</f>
        <v>0</v>
      </c>
      <c r="O20" s="8"/>
      <c r="P20" s="7">
        <f>SUM(H20,J20,L20,N20)</f>
        <v>28785.796030000001</v>
      </c>
      <c r="Q20" s="9"/>
      <c r="R20" s="7">
        <f>VLOOKUP($C20,'ASDR FY1'!$A:$X,R$15,FALSE)/1000</f>
        <v>25340.03314</v>
      </c>
    </row>
    <row r="21" spans="1:18" x14ac:dyDescent="0.25">
      <c r="A21" s="115">
        <f t="shared" si="0"/>
        <v>8</v>
      </c>
      <c r="B21" s="121"/>
      <c r="C21" s="115">
        <v>31540</v>
      </c>
      <c r="D21" s="110" t="s">
        <v>48</v>
      </c>
      <c r="F21" s="125">
        <f>VLOOKUP($C21,'ASDR FY1'!$A:$X,F$15,FALSE)*100</f>
        <v>3.5000000000000004</v>
      </c>
      <c r="G21" s="112"/>
      <c r="H21" s="7">
        <f>VLOOKUP($C21,'ASDR FY1'!$A:$X,H$15,FALSE)/1000</f>
        <v>43980.094720000001</v>
      </c>
      <c r="I21" s="8"/>
      <c r="J21" s="7">
        <f>VLOOKUP($C21,'ASDR FY1'!$A:$X,J$15,FALSE)/1000</f>
        <v>0</v>
      </c>
      <c r="K21" s="9"/>
      <c r="L21" s="7">
        <f>VLOOKUP($C21,'ASDR FY1'!$A:$X,L$15,FALSE)/1000</f>
        <v>0</v>
      </c>
      <c r="M21" s="9"/>
      <c r="N21" s="7">
        <f>VLOOKUP($C21,'ASDR FY1'!$A:$X,N$14,FALSE)/1000+VLOOKUP($C21,'ASDR FY1'!$A:$X,N$15,FALSE)/1000</f>
        <v>0</v>
      </c>
      <c r="O21" s="8"/>
      <c r="P21" s="7">
        <f>SUM(H21,J21,L21,N21)</f>
        <v>43980.094720000001</v>
      </c>
      <c r="Q21" s="9"/>
      <c r="R21" s="7">
        <f>VLOOKUP($C21,'ASDR FY1'!$A:$X,R$15,FALSE)/1000</f>
        <v>43980.094720000001</v>
      </c>
    </row>
    <row r="22" spans="1:18" x14ac:dyDescent="0.25">
      <c r="A22" s="115">
        <f t="shared" si="0"/>
        <v>9</v>
      </c>
      <c r="B22" s="121"/>
      <c r="C22" s="115">
        <v>31640</v>
      </c>
      <c r="D22" s="110" t="s">
        <v>49</v>
      </c>
      <c r="F22" s="125">
        <f>VLOOKUP($C22,'ASDR FY1'!$A:$X,F$15,FALSE)*100</f>
        <v>3.3000000000000003</v>
      </c>
      <c r="G22" s="112"/>
      <c r="H22" s="7">
        <f>VLOOKUP($C22,'ASDR FY1'!$A:$X,H$15,FALSE)/1000</f>
        <v>26448.498799999998</v>
      </c>
      <c r="I22" s="8"/>
      <c r="J22" s="7">
        <f>VLOOKUP($C22,'ASDR FY1'!$A:$X,J$15,FALSE)/1000</f>
        <v>0</v>
      </c>
      <c r="K22" s="9"/>
      <c r="L22" s="7">
        <f>VLOOKUP($C22,'ASDR FY1'!$A:$X,L$15,FALSE)/1000</f>
        <v>0</v>
      </c>
      <c r="M22" s="9"/>
      <c r="N22" s="7">
        <f>VLOOKUP($C22,'ASDR FY1'!$A:$X,N$14,FALSE)/1000+VLOOKUP($C22,'ASDR FY1'!$A:$X,N$15,FALSE)/1000</f>
        <v>0</v>
      </c>
      <c r="O22" s="8"/>
      <c r="P22" s="7">
        <f>SUM(H22,J22,L22,N22)</f>
        <v>26448.498799999998</v>
      </c>
      <c r="Q22" s="9"/>
      <c r="R22" s="7">
        <f>VLOOKUP($C22,'ASDR FY1'!$A:$X,R$15,FALSE)/1000</f>
        <v>26448.498800000001</v>
      </c>
    </row>
    <row r="23" spans="1:18" x14ac:dyDescent="0.25">
      <c r="A23" s="115">
        <f t="shared" si="0"/>
        <v>10</v>
      </c>
      <c r="B23" s="121"/>
      <c r="C23" s="115"/>
      <c r="D23" s="110" t="s">
        <v>50</v>
      </c>
      <c r="F23" s="126"/>
      <c r="H23" s="11">
        <f>SUM(H18:H22)</f>
        <v>561634.18996999983</v>
      </c>
      <c r="I23" s="12"/>
      <c r="J23" s="11">
        <f>SUM(J18:J22)</f>
        <v>20340.491720000002</v>
      </c>
      <c r="K23" s="12"/>
      <c r="L23" s="11">
        <f>SUM(L18:L22)</f>
        <v>-4068.0983700000002</v>
      </c>
      <c r="M23" s="12"/>
      <c r="N23" s="11">
        <f>SUM(N18:N22)</f>
        <v>0</v>
      </c>
      <c r="O23" s="12"/>
      <c r="P23" s="11">
        <f>SUM(P18:P22)</f>
        <v>577906.58331999998</v>
      </c>
      <c r="Q23" s="12"/>
      <c r="R23" s="11">
        <f>SUM(R18:R22)</f>
        <v>571005.46342000016</v>
      </c>
    </row>
    <row r="24" spans="1:18" x14ac:dyDescent="0.25">
      <c r="A24" s="115">
        <f t="shared" si="0"/>
        <v>11</v>
      </c>
      <c r="B24" s="121"/>
      <c r="C24" s="115"/>
      <c r="F24" s="126"/>
      <c r="H24" s="13"/>
      <c r="I24" s="13"/>
      <c r="J24" s="13"/>
      <c r="K24" s="14"/>
      <c r="L24" s="13"/>
      <c r="M24" s="14"/>
      <c r="N24" s="13"/>
      <c r="O24" s="14"/>
      <c r="P24" s="13"/>
      <c r="Q24" s="14"/>
      <c r="R24" s="13"/>
    </row>
    <row r="25" spans="1:18" x14ac:dyDescent="0.25">
      <c r="A25" s="115">
        <f t="shared" si="0"/>
        <v>12</v>
      </c>
      <c r="B25" s="121"/>
      <c r="C25" s="115"/>
      <c r="D25" s="110" t="s">
        <v>51</v>
      </c>
      <c r="F25" s="126"/>
      <c r="H25" s="15"/>
      <c r="I25" s="15"/>
      <c r="J25" s="15"/>
      <c r="K25" s="14"/>
      <c r="L25" s="15"/>
      <c r="M25" s="14"/>
      <c r="N25" s="15"/>
      <c r="O25" s="14"/>
      <c r="P25" s="15"/>
      <c r="Q25" s="14"/>
      <c r="R25" s="15"/>
    </row>
    <row r="26" spans="1:18" x14ac:dyDescent="0.25">
      <c r="A26" s="115">
        <f t="shared" si="0"/>
        <v>13</v>
      </c>
      <c r="B26" s="121"/>
      <c r="C26" s="115">
        <v>31141</v>
      </c>
      <c r="D26" s="110" t="s">
        <v>45</v>
      </c>
      <c r="F26" s="125">
        <f>VLOOKUP($C26,'ASDR FY1'!$A:$X,F$15,FALSE)*100</f>
        <v>2.8000000000000003</v>
      </c>
      <c r="G26" s="112"/>
      <c r="H26" s="7">
        <f>VLOOKUP($C26,'ASDR FY1'!$A:$X,H$15,FALSE)/1000</f>
        <v>0</v>
      </c>
      <c r="I26" s="8"/>
      <c r="J26" s="7">
        <f>VLOOKUP($C26,'ASDR FY1'!$A:$X,J$15,FALSE)/1000</f>
        <v>0</v>
      </c>
      <c r="K26" s="9"/>
      <c r="L26" s="7">
        <f>VLOOKUP($C26,'ASDR FY1'!$A:$X,L$15,FALSE)/1000</f>
        <v>0</v>
      </c>
      <c r="M26" s="9"/>
      <c r="N26" s="7">
        <f>VLOOKUP($C26,'ASDR FY1'!$A:$X,N$14,FALSE)/1000+VLOOKUP($C26,'ASDR FY1'!$A:$X,N$15,FALSE)/1000</f>
        <v>0</v>
      </c>
      <c r="O26" s="8"/>
      <c r="P26" s="7">
        <f>SUM(H26,J26,L26,N26)</f>
        <v>0</v>
      </c>
      <c r="Q26" s="9"/>
      <c r="R26" s="7">
        <f>VLOOKUP($C26,'ASDR FY1'!$A:$X,R$15,FALSE)/1000</f>
        <v>0</v>
      </c>
    </row>
    <row r="27" spans="1:18" x14ac:dyDescent="0.25">
      <c r="A27" s="115">
        <f t="shared" si="0"/>
        <v>14</v>
      </c>
      <c r="B27" s="121"/>
      <c r="C27" s="115">
        <v>31241</v>
      </c>
      <c r="D27" s="110" t="s">
        <v>46</v>
      </c>
      <c r="F27" s="125">
        <f>VLOOKUP($C27,'ASDR FY1'!$A:$X,F$15,FALSE)*100</f>
        <v>5.2</v>
      </c>
      <c r="G27" s="112"/>
      <c r="H27" s="7">
        <f>VLOOKUP($C27,'ASDR FY1'!$A:$X,H$15,FALSE)/1000</f>
        <v>0</v>
      </c>
      <c r="I27" s="8"/>
      <c r="J27" s="7">
        <f>VLOOKUP($C27,'ASDR FY1'!$A:$X,J$15,FALSE)/1000</f>
        <v>0</v>
      </c>
      <c r="K27" s="9"/>
      <c r="L27" s="7">
        <f>VLOOKUP($C27,'ASDR FY1'!$A:$X,L$15,FALSE)/1000</f>
        <v>0</v>
      </c>
      <c r="M27" s="9"/>
      <c r="N27" s="7">
        <f>VLOOKUP($C27,'ASDR FY1'!$A:$X,N$14,FALSE)/1000+VLOOKUP($C27,'ASDR FY1'!$A:$X,N$15,FALSE)/1000</f>
        <v>0</v>
      </c>
      <c r="O27" s="8"/>
      <c r="P27" s="7">
        <f>SUM(H27,J27,L27,N27)</f>
        <v>0</v>
      </c>
      <c r="Q27" s="9"/>
      <c r="R27" s="7">
        <f>VLOOKUP($C27,'ASDR FY1'!$A:$X,R$15,FALSE)/1000</f>
        <v>0</v>
      </c>
    </row>
    <row r="28" spans="1:18" x14ac:dyDescent="0.25">
      <c r="A28" s="115">
        <f t="shared" si="0"/>
        <v>15</v>
      </c>
      <c r="B28" s="121"/>
      <c r="C28" s="115">
        <v>31441</v>
      </c>
      <c r="D28" s="110" t="s">
        <v>47</v>
      </c>
      <c r="F28" s="125">
        <f>VLOOKUP($C28,'ASDR FY1'!$A:$X,F$15,FALSE)*100</f>
        <v>5.8000000000000007</v>
      </c>
      <c r="G28" s="112"/>
      <c r="H28" s="7">
        <f>VLOOKUP($C28,'ASDR FY1'!$A:$X,H$15,FALSE)/1000</f>
        <v>0</v>
      </c>
      <c r="I28" s="8"/>
      <c r="J28" s="7">
        <f>VLOOKUP($C28,'ASDR FY1'!$A:$X,J$15,FALSE)/1000</f>
        <v>0</v>
      </c>
      <c r="K28" s="9"/>
      <c r="L28" s="7">
        <f>VLOOKUP($C28,'ASDR FY1'!$A:$X,L$15,FALSE)/1000</f>
        <v>0</v>
      </c>
      <c r="M28" s="9"/>
      <c r="N28" s="7">
        <f>VLOOKUP($C28,'ASDR FY1'!$A:$X,N$14,FALSE)/1000+VLOOKUP($C28,'ASDR FY1'!$A:$X,N$15,FALSE)/1000</f>
        <v>0</v>
      </c>
      <c r="O28" s="8"/>
      <c r="P28" s="7">
        <f>SUM(H28,J28,L28,N28)</f>
        <v>0</v>
      </c>
      <c r="Q28" s="9"/>
      <c r="R28" s="7">
        <f>VLOOKUP($C28,'ASDR FY1'!$A:$X,R$15,FALSE)/1000</f>
        <v>0</v>
      </c>
    </row>
    <row r="29" spans="1:18" x14ac:dyDescent="0.25">
      <c r="A29" s="115">
        <f t="shared" si="0"/>
        <v>16</v>
      </c>
      <c r="B29" s="121"/>
      <c r="C29" s="115">
        <v>31541</v>
      </c>
      <c r="D29" s="110" t="s">
        <v>48</v>
      </c>
      <c r="F29" s="125">
        <f>VLOOKUP($C29,'ASDR FY1'!$A:$X,F$15,FALSE)*100</f>
        <v>4.3999999999999995</v>
      </c>
      <c r="G29" s="112"/>
      <c r="H29" s="7">
        <f>VLOOKUP($C29,'ASDR FY1'!$A:$X,H$15,FALSE)/1000</f>
        <v>0</v>
      </c>
      <c r="I29" s="8"/>
      <c r="J29" s="7">
        <f>VLOOKUP($C29,'ASDR FY1'!$A:$X,J$15,FALSE)/1000</f>
        <v>0</v>
      </c>
      <c r="K29" s="9"/>
      <c r="L29" s="7">
        <f>VLOOKUP($C29,'ASDR FY1'!$A:$X,L$15,FALSE)/1000</f>
        <v>0</v>
      </c>
      <c r="M29" s="9"/>
      <c r="N29" s="7">
        <f>VLOOKUP($C29,'ASDR FY1'!$A:$X,N$14,FALSE)/1000+VLOOKUP($C29,'ASDR FY1'!$A:$X,N$15,FALSE)/1000</f>
        <v>0</v>
      </c>
      <c r="O29" s="8"/>
      <c r="P29" s="7">
        <f>SUM(H29,J29,L29,N29)</f>
        <v>0</v>
      </c>
      <c r="Q29" s="9"/>
      <c r="R29" s="7">
        <f>VLOOKUP($C29,'ASDR FY1'!$A:$X,R$15,FALSE)/1000</f>
        <v>0</v>
      </c>
    </row>
    <row r="30" spans="1:18" x14ac:dyDescent="0.25">
      <c r="A30" s="115">
        <f t="shared" si="0"/>
        <v>17</v>
      </c>
      <c r="B30" s="121"/>
      <c r="C30" s="115">
        <v>31641</v>
      </c>
      <c r="D30" s="110" t="s">
        <v>49</v>
      </c>
      <c r="F30" s="125">
        <f>VLOOKUP($C30,'ASDR FY1'!$A:$X,F$15,FALSE)*100</f>
        <v>3.5999999999999996</v>
      </c>
      <c r="G30" s="112"/>
      <c r="H30" s="7">
        <f>VLOOKUP($C30,'ASDR FY1'!$A:$X,H$15,FALSE)/1000</f>
        <v>0</v>
      </c>
      <c r="I30" s="8"/>
      <c r="J30" s="7">
        <f>VLOOKUP($C30,'ASDR FY1'!$A:$X,J$15,FALSE)/1000</f>
        <v>0</v>
      </c>
      <c r="K30" s="9"/>
      <c r="L30" s="7">
        <f>VLOOKUP($C30,'ASDR FY1'!$A:$X,L$15,FALSE)/1000</f>
        <v>0</v>
      </c>
      <c r="M30" s="9"/>
      <c r="N30" s="7">
        <f>VLOOKUP($C30,'ASDR FY1'!$A:$X,N$14,FALSE)/1000+VLOOKUP($C30,'ASDR FY1'!$A:$X,N$15,FALSE)/1000</f>
        <v>0</v>
      </c>
      <c r="O30" s="8"/>
      <c r="P30" s="7">
        <f>SUM(H30,J30,L30,N30)</f>
        <v>0</v>
      </c>
      <c r="Q30" s="9"/>
      <c r="R30" s="7">
        <f>VLOOKUP($C30,'ASDR FY1'!$A:$X,R$15,FALSE)/1000</f>
        <v>0</v>
      </c>
    </row>
    <row r="31" spans="1:18" x14ac:dyDescent="0.25">
      <c r="A31" s="115">
        <f t="shared" si="0"/>
        <v>18</v>
      </c>
      <c r="B31" s="121"/>
      <c r="C31" s="115"/>
      <c r="D31" s="110" t="s">
        <v>52</v>
      </c>
      <c r="F31" s="125"/>
      <c r="H31" s="11">
        <f>SUM(H26:H30)</f>
        <v>0</v>
      </c>
      <c r="I31" s="14"/>
      <c r="J31" s="11">
        <f>SUM(J26:J30)</f>
        <v>0</v>
      </c>
      <c r="K31" s="14"/>
      <c r="L31" s="11">
        <f>SUM(L26:L30)</f>
        <v>0</v>
      </c>
      <c r="M31" s="14"/>
      <c r="N31" s="11">
        <f>SUM(N26:N30)</f>
        <v>0</v>
      </c>
      <c r="O31" s="14"/>
      <c r="P31" s="11">
        <f>SUM(P26:P30)</f>
        <v>0</v>
      </c>
      <c r="Q31" s="14"/>
      <c r="R31" s="11">
        <f>SUM(R26:R30)</f>
        <v>0</v>
      </c>
    </row>
    <row r="32" spans="1:18" x14ac:dyDescent="0.25">
      <c r="A32" s="115">
        <f t="shared" si="0"/>
        <v>19</v>
      </c>
      <c r="B32" s="121"/>
      <c r="F32" s="126"/>
      <c r="O32" s="112"/>
    </row>
    <row r="33" spans="1:18" x14ac:dyDescent="0.25">
      <c r="A33" s="115">
        <f t="shared" si="0"/>
        <v>20</v>
      </c>
      <c r="B33" s="121"/>
      <c r="C33" s="115"/>
      <c r="D33" s="127" t="s">
        <v>53</v>
      </c>
      <c r="E33" s="127"/>
      <c r="F33" s="125"/>
      <c r="G33" s="127"/>
      <c r="H33" s="13"/>
      <c r="I33" s="13"/>
      <c r="J33" s="13"/>
      <c r="K33" s="14"/>
      <c r="L33" s="13"/>
      <c r="M33" s="14"/>
      <c r="N33" s="13"/>
      <c r="O33" s="14"/>
      <c r="P33" s="13"/>
      <c r="Q33" s="14"/>
      <c r="R33" s="13"/>
    </row>
    <row r="34" spans="1:18" x14ac:dyDescent="0.25">
      <c r="A34" s="115">
        <f t="shared" si="0"/>
        <v>21</v>
      </c>
      <c r="B34" s="121"/>
      <c r="C34" s="115">
        <v>31142</v>
      </c>
      <c r="D34" s="110" t="s">
        <v>45</v>
      </c>
      <c r="F34" s="125">
        <f>VLOOKUP($C34,'ASDR FY1'!$A:$X,F$15,FALSE)*100</f>
        <v>2.6</v>
      </c>
      <c r="G34" s="112"/>
      <c r="H34" s="7">
        <f>VLOOKUP($C34,'ASDR FY1'!$A:$X,H$15,FALSE)/1000</f>
        <v>0</v>
      </c>
      <c r="I34" s="8"/>
      <c r="J34" s="7">
        <f>VLOOKUP($C34,'ASDR FY1'!$A:$X,J$15,FALSE)/1000</f>
        <v>0</v>
      </c>
      <c r="K34" s="9"/>
      <c r="L34" s="7">
        <f>VLOOKUP($C34,'ASDR FY1'!$A:$X,L$15,FALSE)/1000</f>
        <v>0</v>
      </c>
      <c r="M34" s="9"/>
      <c r="N34" s="7">
        <f>VLOOKUP($C34,'ASDR FY1'!$A:$X,N$14,FALSE)/1000+VLOOKUP($C34,'ASDR FY1'!$A:$X,N$15,FALSE)/1000</f>
        <v>0</v>
      </c>
      <c r="O34" s="8"/>
      <c r="P34" s="7">
        <f>SUM(H34,J34,L34,N34)</f>
        <v>0</v>
      </c>
      <c r="Q34" s="9"/>
      <c r="R34" s="7">
        <f>VLOOKUP($C34,'ASDR FY1'!$A:$X,R$15,FALSE)/1000</f>
        <v>0</v>
      </c>
    </row>
    <row r="35" spans="1:18" x14ac:dyDescent="0.25">
      <c r="A35" s="115">
        <f t="shared" si="0"/>
        <v>22</v>
      </c>
      <c r="B35" s="121"/>
      <c r="C35" s="115">
        <v>31242</v>
      </c>
      <c r="D35" s="110" t="s">
        <v>46</v>
      </c>
      <c r="F35" s="125">
        <f>VLOOKUP($C35,'ASDR FY1'!$A:$X,F$15,FALSE)*100</f>
        <v>4.3</v>
      </c>
      <c r="G35" s="112"/>
      <c r="H35" s="7">
        <f>VLOOKUP($C35,'ASDR FY1'!$A:$X,H$15,FALSE)/1000</f>
        <v>0</v>
      </c>
      <c r="I35" s="8"/>
      <c r="J35" s="7">
        <f>VLOOKUP($C35,'ASDR FY1'!$A:$X,J$15,FALSE)/1000</f>
        <v>0</v>
      </c>
      <c r="K35" s="9"/>
      <c r="L35" s="7">
        <f>VLOOKUP($C35,'ASDR FY1'!$A:$X,L$15,FALSE)/1000</f>
        <v>0</v>
      </c>
      <c r="M35" s="9"/>
      <c r="N35" s="7">
        <f>VLOOKUP($C35,'ASDR FY1'!$A:$X,N$14,FALSE)/1000+VLOOKUP($C35,'ASDR FY1'!$A:$X,N$15,FALSE)/1000</f>
        <v>0</v>
      </c>
      <c r="O35" s="8"/>
      <c r="P35" s="7">
        <f>SUM(H35,J35,L35,N35)</f>
        <v>0</v>
      </c>
      <c r="Q35" s="9"/>
      <c r="R35" s="7">
        <f>VLOOKUP($C35,'ASDR FY1'!$A:$X,R$15,FALSE)/1000</f>
        <v>0</v>
      </c>
    </row>
    <row r="36" spans="1:18" x14ac:dyDescent="0.25">
      <c r="A36" s="115">
        <f t="shared" si="0"/>
        <v>23</v>
      </c>
      <c r="B36" s="121"/>
      <c r="C36" s="115">
        <v>31442</v>
      </c>
      <c r="D36" s="110" t="s">
        <v>47</v>
      </c>
      <c r="F36" s="125">
        <f>VLOOKUP($C36,'ASDR FY1'!$A:$X,F$15,FALSE)*100</f>
        <v>4.1000000000000005</v>
      </c>
      <c r="G36" s="112"/>
      <c r="H36" s="7">
        <f>VLOOKUP($C36,'ASDR FY1'!$A:$X,H$15,FALSE)/1000</f>
        <v>0</v>
      </c>
      <c r="I36" s="8"/>
      <c r="J36" s="7">
        <f>VLOOKUP($C36,'ASDR FY1'!$A:$X,J$15,FALSE)/1000</f>
        <v>0</v>
      </c>
      <c r="K36" s="9"/>
      <c r="L36" s="7">
        <f>VLOOKUP($C36,'ASDR FY1'!$A:$X,L$15,FALSE)/1000</f>
        <v>0</v>
      </c>
      <c r="M36" s="9"/>
      <c r="N36" s="7">
        <f>VLOOKUP($C36,'ASDR FY1'!$A:$X,N$14,FALSE)/1000+VLOOKUP($C36,'ASDR FY1'!$A:$X,N$15,FALSE)/1000</f>
        <v>0</v>
      </c>
      <c r="O36" s="8"/>
      <c r="P36" s="7">
        <f>SUM(H36,J36,L36,N36)</f>
        <v>0</v>
      </c>
      <c r="Q36" s="9"/>
      <c r="R36" s="7">
        <f>VLOOKUP($C36,'ASDR FY1'!$A:$X,R$15,FALSE)/1000</f>
        <v>0</v>
      </c>
    </row>
    <row r="37" spans="1:18" x14ac:dyDescent="0.25">
      <c r="A37" s="115">
        <f t="shared" si="0"/>
        <v>24</v>
      </c>
      <c r="B37" s="121"/>
      <c r="C37" s="115">
        <v>31542</v>
      </c>
      <c r="D37" s="110" t="s">
        <v>48</v>
      </c>
      <c r="F37" s="125">
        <f>VLOOKUP($C37,'ASDR FY1'!$A:$X,F$15,FALSE)*100</f>
        <v>5</v>
      </c>
      <c r="G37" s="112"/>
      <c r="H37" s="7">
        <f>VLOOKUP($C37,'ASDR FY1'!$A:$X,H$15,FALSE)/1000</f>
        <v>0</v>
      </c>
      <c r="I37" s="8"/>
      <c r="J37" s="7">
        <f>VLOOKUP($C37,'ASDR FY1'!$A:$X,J$15,FALSE)/1000</f>
        <v>0</v>
      </c>
      <c r="K37" s="9"/>
      <c r="L37" s="7">
        <f>VLOOKUP($C37,'ASDR FY1'!$A:$X,L$15,FALSE)/1000</f>
        <v>0</v>
      </c>
      <c r="M37" s="9"/>
      <c r="N37" s="7">
        <f>VLOOKUP($C37,'ASDR FY1'!$A:$X,N$14,FALSE)/1000+VLOOKUP($C37,'ASDR FY1'!$A:$X,N$15,FALSE)/1000</f>
        <v>0</v>
      </c>
      <c r="O37" s="8"/>
      <c r="P37" s="7">
        <f>SUM(H37,J37,L37,N37)</f>
        <v>0</v>
      </c>
      <c r="Q37" s="9"/>
      <c r="R37" s="7">
        <f>VLOOKUP($C37,'ASDR FY1'!$A:$X,R$15,FALSE)/1000</f>
        <v>0</v>
      </c>
    </row>
    <row r="38" spans="1:18" x14ac:dyDescent="0.25">
      <c r="A38" s="115">
        <f t="shared" si="0"/>
        <v>25</v>
      </c>
      <c r="B38" s="121"/>
      <c r="C38" s="115">
        <v>31642</v>
      </c>
      <c r="D38" s="110" t="s">
        <v>49</v>
      </c>
      <c r="F38" s="125">
        <f>VLOOKUP($C38,'ASDR FY1'!$A:$X,F$15,FALSE)*100</f>
        <v>1.4000000000000001</v>
      </c>
      <c r="G38" s="112"/>
      <c r="H38" s="7">
        <f>VLOOKUP($C38,'ASDR FY1'!$A:$X,H$15,FALSE)/1000</f>
        <v>0</v>
      </c>
      <c r="I38" s="8"/>
      <c r="J38" s="7">
        <f>VLOOKUP($C38,'ASDR FY1'!$A:$X,J$15,FALSE)/1000</f>
        <v>0</v>
      </c>
      <c r="K38" s="9"/>
      <c r="L38" s="7">
        <f>VLOOKUP($C38,'ASDR FY1'!$A:$X,L$15,FALSE)/1000</f>
        <v>0</v>
      </c>
      <c r="M38" s="9"/>
      <c r="N38" s="7">
        <f>VLOOKUP($C38,'ASDR FY1'!$A:$X,N$14,FALSE)/1000+VLOOKUP($C38,'ASDR FY1'!$A:$X,N$15,FALSE)/1000</f>
        <v>0</v>
      </c>
      <c r="O38" s="8"/>
      <c r="P38" s="7">
        <f>SUM(H38,J38,L38,N38)</f>
        <v>0</v>
      </c>
      <c r="Q38" s="9"/>
      <c r="R38" s="7">
        <f>VLOOKUP($C38,'ASDR FY1'!$A:$X,R$15,FALSE)/1000</f>
        <v>0</v>
      </c>
    </row>
    <row r="39" spans="1:18" x14ac:dyDescent="0.25">
      <c r="A39" s="115">
        <f t="shared" si="0"/>
        <v>26</v>
      </c>
      <c r="B39" s="121"/>
      <c r="C39" s="115"/>
      <c r="D39" s="128" t="s">
        <v>54</v>
      </c>
      <c r="E39" s="128"/>
      <c r="F39" s="125"/>
      <c r="H39" s="11">
        <f>SUM(H34:H38)</f>
        <v>0</v>
      </c>
      <c r="I39" s="14"/>
      <c r="J39" s="11">
        <f>SUM(J34:J38)</f>
        <v>0</v>
      </c>
      <c r="K39" s="14"/>
      <c r="L39" s="11">
        <f>SUM(L34:L38)</f>
        <v>0</v>
      </c>
      <c r="M39" s="14"/>
      <c r="N39" s="11">
        <f>SUM(N34:N38)</f>
        <v>0</v>
      </c>
      <c r="O39" s="14"/>
      <c r="P39" s="11">
        <f>SUM(P34:P38)</f>
        <v>0</v>
      </c>
      <c r="Q39" s="14"/>
      <c r="R39" s="11">
        <f>SUM(R34:R38)</f>
        <v>0</v>
      </c>
    </row>
    <row r="40" spans="1:18" x14ac:dyDescent="0.25">
      <c r="A40" s="115">
        <f t="shared" si="0"/>
        <v>27</v>
      </c>
      <c r="B40" s="121"/>
      <c r="C40" s="115"/>
      <c r="D40" s="128"/>
      <c r="E40" s="128"/>
      <c r="F40" s="125"/>
      <c r="G40" s="128"/>
      <c r="H40" s="14"/>
      <c r="I40" s="14"/>
      <c r="J40" s="14"/>
      <c r="K40" s="14"/>
      <c r="L40" s="14"/>
      <c r="M40" s="14"/>
      <c r="N40" s="14"/>
      <c r="O40" s="13"/>
      <c r="P40" s="14"/>
      <c r="Q40" s="13"/>
      <c r="R40" s="14"/>
    </row>
    <row r="41" spans="1:18" x14ac:dyDescent="0.25">
      <c r="A41" s="115">
        <f t="shared" si="0"/>
        <v>28</v>
      </c>
      <c r="B41" s="121"/>
      <c r="C41" s="115"/>
      <c r="D41" s="128" t="s">
        <v>55</v>
      </c>
      <c r="E41" s="128"/>
      <c r="F41" s="125"/>
      <c r="G41" s="128"/>
      <c r="H41" s="14"/>
      <c r="I41" s="14"/>
      <c r="J41" s="14"/>
      <c r="K41" s="14"/>
      <c r="L41" s="14"/>
      <c r="M41" s="14"/>
      <c r="N41" s="14"/>
      <c r="O41" s="13"/>
      <c r="P41" s="14"/>
      <c r="Q41" s="13"/>
      <c r="R41" s="14"/>
    </row>
    <row r="42" spans="1:18" x14ac:dyDescent="0.25">
      <c r="A42" s="115">
        <f t="shared" si="0"/>
        <v>29</v>
      </c>
      <c r="B42" s="121"/>
      <c r="C42" s="115">
        <v>31143</v>
      </c>
      <c r="D42" s="110" t="s">
        <v>45</v>
      </c>
      <c r="F42" s="125">
        <f>VLOOKUP($C42,'ASDR FY1'!$A:$X,F$15,FALSE)*100</f>
        <v>1.7000000000000002</v>
      </c>
      <c r="G42" s="112"/>
      <c r="H42" s="7">
        <f>VLOOKUP($C42,'ASDR FY1'!$A:$X,H$15,FALSE)/1000</f>
        <v>0</v>
      </c>
      <c r="I42" s="8"/>
      <c r="J42" s="7">
        <f>VLOOKUP($C42,'ASDR FY1'!$A:$X,J$15,FALSE)/1000</f>
        <v>0</v>
      </c>
      <c r="K42" s="9"/>
      <c r="L42" s="7">
        <f>VLOOKUP($C42,'ASDR FY1'!$A:$X,L$15,FALSE)/1000</f>
        <v>0</v>
      </c>
      <c r="M42" s="9"/>
      <c r="N42" s="7">
        <f>VLOOKUP($C42,'ASDR FY1'!$A:$X,N$14,FALSE)/1000+VLOOKUP($C42,'ASDR FY1'!$A:$X,N$15,FALSE)/1000</f>
        <v>0</v>
      </c>
      <c r="O42" s="8"/>
      <c r="P42" s="7">
        <f>SUM(H42,J42,L42,N42)</f>
        <v>0</v>
      </c>
      <c r="Q42" s="9"/>
      <c r="R42" s="7">
        <f>VLOOKUP($C42,'ASDR FY1'!$A:$X,R$15,FALSE)/1000</f>
        <v>0</v>
      </c>
    </row>
    <row r="43" spans="1:18" x14ac:dyDescent="0.25">
      <c r="A43" s="115">
        <f t="shared" si="0"/>
        <v>30</v>
      </c>
      <c r="B43" s="121"/>
      <c r="C43" s="115">
        <v>31243</v>
      </c>
      <c r="D43" s="110" t="s">
        <v>46</v>
      </c>
      <c r="F43" s="125">
        <f>VLOOKUP($C43,'ASDR FY1'!$A:$X,F$15,FALSE)*100</f>
        <v>3.5999999999999996</v>
      </c>
      <c r="G43" s="112"/>
      <c r="H43" s="7">
        <f>VLOOKUP($C43,'ASDR FY1'!$A:$X,H$15,FALSE)/1000</f>
        <v>0</v>
      </c>
      <c r="I43" s="8"/>
      <c r="J43" s="7">
        <f>VLOOKUP($C43,'ASDR FY1'!$A:$X,J$15,FALSE)/1000</f>
        <v>0</v>
      </c>
      <c r="K43" s="9"/>
      <c r="L43" s="7">
        <f>VLOOKUP($C43,'ASDR FY1'!$A:$X,L$15,FALSE)/1000</f>
        <v>0</v>
      </c>
      <c r="M43" s="9"/>
      <c r="N43" s="7">
        <f>VLOOKUP($C43,'ASDR FY1'!$A:$X,N$14,FALSE)/1000+VLOOKUP($C43,'ASDR FY1'!$A:$X,N$15,FALSE)/1000</f>
        <v>0</v>
      </c>
      <c r="O43" s="8"/>
      <c r="P43" s="7">
        <f>SUM(H43,J43,L43,N43)</f>
        <v>0</v>
      </c>
      <c r="Q43" s="9"/>
      <c r="R43" s="7">
        <f>VLOOKUP($C43,'ASDR FY1'!$A:$X,R$15,FALSE)/1000</f>
        <v>0</v>
      </c>
    </row>
    <row r="44" spans="1:18" x14ac:dyDescent="0.25">
      <c r="A44" s="115">
        <f t="shared" si="0"/>
        <v>31</v>
      </c>
      <c r="B44" s="121"/>
      <c r="C44" s="115">
        <v>31443</v>
      </c>
      <c r="D44" s="110" t="s">
        <v>47</v>
      </c>
      <c r="F44" s="125">
        <f>VLOOKUP($C44,'ASDR FY1'!$A:$X,F$15,FALSE)*100</f>
        <v>3.8</v>
      </c>
      <c r="G44" s="112"/>
      <c r="H44" s="7">
        <f>VLOOKUP($C44,'ASDR FY1'!$A:$X,H$15,FALSE)/1000</f>
        <v>0</v>
      </c>
      <c r="I44" s="8"/>
      <c r="J44" s="7">
        <f>VLOOKUP($C44,'ASDR FY1'!$A:$X,J$15,FALSE)/1000</f>
        <v>0</v>
      </c>
      <c r="K44" s="9"/>
      <c r="L44" s="7">
        <f>VLOOKUP($C44,'ASDR FY1'!$A:$X,L$15,FALSE)/1000</f>
        <v>0</v>
      </c>
      <c r="M44" s="9"/>
      <c r="N44" s="7">
        <f>VLOOKUP($C44,'ASDR FY1'!$A:$X,N$14,FALSE)/1000+VLOOKUP($C44,'ASDR FY1'!$A:$X,N$15,FALSE)/1000</f>
        <v>0</v>
      </c>
      <c r="O44" s="8"/>
      <c r="P44" s="7">
        <f>SUM(H44,J44,L44,N44)</f>
        <v>0</v>
      </c>
      <c r="Q44" s="9"/>
      <c r="R44" s="7">
        <f>VLOOKUP($C44,'ASDR FY1'!$A:$X,R$15,FALSE)/1000</f>
        <v>0</v>
      </c>
    </row>
    <row r="45" spans="1:18" x14ac:dyDescent="0.25">
      <c r="A45" s="115">
        <f t="shared" si="0"/>
        <v>32</v>
      </c>
      <c r="B45" s="121"/>
      <c r="C45" s="115">
        <v>31543</v>
      </c>
      <c r="D45" s="110" t="s">
        <v>48</v>
      </c>
      <c r="F45" s="125">
        <f>VLOOKUP($C45,'ASDR FY1'!$A:$X,F$15,FALSE)*100</f>
        <v>3.3000000000000003</v>
      </c>
      <c r="G45" s="112"/>
      <c r="H45" s="7">
        <f>VLOOKUP($C45,'ASDR FY1'!$A:$X,H$15,FALSE)/1000</f>
        <v>0</v>
      </c>
      <c r="I45" s="8"/>
      <c r="J45" s="7">
        <f>VLOOKUP($C45,'ASDR FY1'!$A:$X,J$15,FALSE)/1000</f>
        <v>0</v>
      </c>
      <c r="K45" s="9"/>
      <c r="L45" s="7">
        <f>VLOOKUP($C45,'ASDR FY1'!$A:$X,L$15,FALSE)/1000</f>
        <v>0</v>
      </c>
      <c r="M45" s="9"/>
      <c r="N45" s="7">
        <f>VLOOKUP($C45,'ASDR FY1'!$A:$X,N$14,FALSE)/1000+VLOOKUP($C45,'ASDR FY1'!$A:$X,N$15,FALSE)/1000</f>
        <v>0</v>
      </c>
      <c r="O45" s="8"/>
      <c r="P45" s="7">
        <f>SUM(H45,J45,L45,N45)</f>
        <v>0</v>
      </c>
      <c r="Q45" s="9"/>
      <c r="R45" s="7">
        <f>VLOOKUP($C45,'ASDR FY1'!$A:$X,R$15,FALSE)/1000</f>
        <v>0</v>
      </c>
    </row>
    <row r="46" spans="1:18" x14ac:dyDescent="0.25">
      <c r="A46" s="115">
        <f t="shared" si="0"/>
        <v>33</v>
      </c>
      <c r="B46" s="121"/>
      <c r="C46" s="115">
        <v>31643</v>
      </c>
      <c r="D46" s="110" t="s">
        <v>49</v>
      </c>
      <c r="F46" s="125">
        <f>VLOOKUP($C46,'ASDR FY1'!$A:$X,F$15,FALSE)*100</f>
        <v>3.5999999999999996</v>
      </c>
      <c r="G46" s="112"/>
      <c r="H46" s="7">
        <f>VLOOKUP($C46,'ASDR FY1'!$A:$X,H$15,FALSE)/1000</f>
        <v>0</v>
      </c>
      <c r="I46" s="8"/>
      <c r="J46" s="7">
        <f>VLOOKUP($C46,'ASDR FY1'!$A:$X,J$15,FALSE)/1000</f>
        <v>0</v>
      </c>
      <c r="K46" s="9"/>
      <c r="L46" s="7">
        <f>VLOOKUP($C46,'ASDR FY1'!$A:$X,L$15,FALSE)/1000</f>
        <v>0</v>
      </c>
      <c r="M46" s="9"/>
      <c r="N46" s="7">
        <f>VLOOKUP($C46,'ASDR FY1'!$A:$X,N$14,FALSE)/1000+VLOOKUP($C46,'ASDR FY1'!$A:$X,N$15,FALSE)/1000</f>
        <v>0</v>
      </c>
      <c r="O46" s="8"/>
      <c r="P46" s="7">
        <f>SUM(H46,J46,L46,N46)</f>
        <v>0</v>
      </c>
      <c r="Q46" s="9"/>
      <c r="R46" s="7">
        <f>VLOOKUP($C46,'ASDR FY1'!$A:$X,R$15,FALSE)/1000</f>
        <v>0</v>
      </c>
    </row>
    <row r="47" spans="1:18" x14ac:dyDescent="0.25">
      <c r="A47" s="115">
        <f t="shared" si="0"/>
        <v>34</v>
      </c>
      <c r="B47" s="121"/>
      <c r="C47" s="115"/>
      <c r="D47" s="128" t="s">
        <v>56</v>
      </c>
      <c r="E47" s="128"/>
      <c r="F47" s="125"/>
      <c r="H47" s="11">
        <f>SUM(H42:H46)</f>
        <v>0</v>
      </c>
      <c r="I47" s="14"/>
      <c r="J47" s="11">
        <f>SUM(J42:J46)</f>
        <v>0</v>
      </c>
      <c r="K47" s="14"/>
      <c r="L47" s="11">
        <f>SUM(L42:L46)</f>
        <v>0</v>
      </c>
      <c r="M47" s="14"/>
      <c r="N47" s="11">
        <f>SUM(N42:N46)</f>
        <v>0</v>
      </c>
      <c r="O47" s="14"/>
      <c r="P47" s="11">
        <f>SUM(P42:P46)</f>
        <v>0</v>
      </c>
      <c r="Q47" s="14"/>
      <c r="R47" s="11">
        <f>SUM(R42:R46)</f>
        <v>0</v>
      </c>
    </row>
    <row r="48" spans="1:18" x14ac:dyDescent="0.25">
      <c r="A48" s="115">
        <f t="shared" si="0"/>
        <v>35</v>
      </c>
      <c r="B48" s="121"/>
      <c r="F48" s="126"/>
      <c r="O48" s="112"/>
    </row>
    <row r="49" spans="1:18" x14ac:dyDescent="0.25">
      <c r="A49" s="115">
        <f t="shared" si="0"/>
        <v>36</v>
      </c>
      <c r="B49" s="121"/>
      <c r="C49" s="125"/>
      <c r="D49" s="128" t="s">
        <v>57</v>
      </c>
      <c r="E49" s="128"/>
      <c r="F49" s="125"/>
      <c r="G49" s="128"/>
      <c r="H49" s="14"/>
      <c r="I49" s="14"/>
      <c r="J49" s="14"/>
      <c r="K49" s="14"/>
      <c r="L49" s="14"/>
      <c r="M49" s="14"/>
      <c r="N49" s="14"/>
      <c r="O49" s="13"/>
      <c r="P49" s="14"/>
      <c r="Q49" s="13"/>
      <c r="R49" s="14"/>
    </row>
    <row r="50" spans="1:18" x14ac:dyDescent="0.25">
      <c r="A50" s="115">
        <f t="shared" si="0"/>
        <v>37</v>
      </c>
      <c r="B50" s="129"/>
      <c r="C50" s="115">
        <v>31144</v>
      </c>
      <c r="D50" s="110" t="s">
        <v>45</v>
      </c>
      <c r="F50" s="125">
        <f>VLOOKUP($C50,'ASDR FY1'!$A:$X,F$15,FALSE)*100</f>
        <v>1.9</v>
      </c>
      <c r="G50" s="112"/>
      <c r="H50" s="7">
        <f>VLOOKUP($C50,'ASDR FY1'!$A:$X,H$15,FALSE)/1000</f>
        <v>55902.236310000008</v>
      </c>
      <c r="I50" s="8"/>
      <c r="J50" s="7">
        <f>VLOOKUP($C50,'ASDR FY1'!$A:$X,J$15,FALSE)/1000</f>
        <v>0</v>
      </c>
      <c r="K50" s="9"/>
      <c r="L50" s="7">
        <f>VLOOKUP($C50,'ASDR FY1'!$A:$X,L$15,FALSE)/1000</f>
        <v>0</v>
      </c>
      <c r="M50" s="9"/>
      <c r="N50" s="7">
        <f>VLOOKUP($C50,'ASDR FY1'!$A:$X,N$14,FALSE)/1000+VLOOKUP($C50,'ASDR FY1'!$A:$X,N$15,FALSE)/1000</f>
        <v>0</v>
      </c>
      <c r="O50" s="8"/>
      <c r="P50" s="7">
        <f>SUM(H50,J50,L50,N50)</f>
        <v>55902.236310000008</v>
      </c>
      <c r="Q50" s="9"/>
      <c r="R50" s="7">
        <f>VLOOKUP($C50,'ASDR FY1'!$A:$X,R$15,FALSE)/1000</f>
        <v>55902.23631</v>
      </c>
    </row>
    <row r="51" spans="1:18" x14ac:dyDescent="0.25">
      <c r="A51" s="115">
        <f t="shared" si="0"/>
        <v>38</v>
      </c>
      <c r="B51" s="129"/>
      <c r="C51" s="115">
        <v>31244</v>
      </c>
      <c r="D51" s="110" t="s">
        <v>46</v>
      </c>
      <c r="F51" s="125">
        <f>VLOOKUP($C51,'ASDR FY1'!$A:$X,F$15,FALSE)*100</f>
        <v>3.3000000000000003</v>
      </c>
      <c r="G51" s="112"/>
      <c r="H51" s="7">
        <f>VLOOKUP($C51,'ASDR FY1'!$A:$X,H$15,FALSE)/1000</f>
        <v>309059.93295999971</v>
      </c>
      <c r="I51" s="8"/>
      <c r="J51" s="7">
        <f>VLOOKUP($C51,'ASDR FY1'!$A:$X,J$15,FALSE)/1000</f>
        <v>8616.721160000001</v>
      </c>
      <c r="K51" s="9"/>
      <c r="L51" s="7">
        <f>VLOOKUP($C51,'ASDR FY1'!$A:$X,L$15,FALSE)/1000</f>
        <v>-1723.34421</v>
      </c>
      <c r="M51" s="9"/>
      <c r="N51" s="7">
        <f>VLOOKUP($C51,'ASDR FY1'!$A:$X,N$14,FALSE)/1000+VLOOKUP($C51,'ASDR FY1'!$A:$X,N$15,FALSE)/1000</f>
        <v>0</v>
      </c>
      <c r="O51" s="8"/>
      <c r="P51" s="7">
        <f>SUM(H51,J51,L51,N51)</f>
        <v>315953.30990999972</v>
      </c>
      <c r="Q51" s="9"/>
      <c r="R51" s="7">
        <f>VLOOKUP($C51,'ASDR FY1'!$A:$X,R$15,FALSE)/1000</f>
        <v>314559.01801</v>
      </c>
    </row>
    <row r="52" spans="1:18" x14ac:dyDescent="0.25">
      <c r="A52" s="115">
        <f t="shared" si="0"/>
        <v>39</v>
      </c>
      <c r="B52" s="129"/>
      <c r="C52" s="115">
        <v>31444</v>
      </c>
      <c r="D52" s="110" t="s">
        <v>47</v>
      </c>
      <c r="F52" s="125">
        <f>VLOOKUP($C52,'ASDR FY1'!$A:$X,F$15,FALSE)*100</f>
        <v>3.2</v>
      </c>
      <c r="G52" s="112"/>
      <c r="H52" s="7">
        <f>VLOOKUP($C52,'ASDR FY1'!$A:$X,H$15,FALSE)/1000</f>
        <v>113387.62348000005</v>
      </c>
      <c r="I52" s="8"/>
      <c r="J52" s="7">
        <f>VLOOKUP($C52,'ASDR FY1'!$A:$X,J$15,FALSE)/1000</f>
        <v>8616.721160000001</v>
      </c>
      <c r="K52" s="9"/>
      <c r="L52" s="7">
        <f>VLOOKUP($C52,'ASDR FY1'!$A:$X,L$15,FALSE)/1000</f>
        <v>-1723.34421</v>
      </c>
      <c r="M52" s="9"/>
      <c r="N52" s="7">
        <f>VLOOKUP($C52,'ASDR FY1'!$A:$X,N$14,FALSE)/1000+VLOOKUP($C52,'ASDR FY1'!$A:$X,N$15,FALSE)/1000</f>
        <v>0</v>
      </c>
      <c r="O52" s="8"/>
      <c r="P52" s="7">
        <f>SUM(H52,J52,L52,N52)</f>
        <v>120281.00043000006</v>
      </c>
      <c r="Q52" s="9"/>
      <c r="R52" s="7">
        <f>VLOOKUP($C52,'ASDR FY1'!$A:$X,R$15,FALSE)/1000</f>
        <v>118886.70853</v>
      </c>
    </row>
    <row r="53" spans="1:18" x14ac:dyDescent="0.25">
      <c r="A53" s="115">
        <f t="shared" si="0"/>
        <v>40</v>
      </c>
      <c r="B53" s="129"/>
      <c r="C53" s="115">
        <v>31544</v>
      </c>
      <c r="D53" s="110" t="s">
        <v>48</v>
      </c>
      <c r="F53" s="125">
        <f>VLOOKUP($C53,'ASDR FY1'!$A:$X,F$15,FALSE)*100</f>
        <v>2.9000000000000004</v>
      </c>
      <c r="G53" s="112"/>
      <c r="H53" s="7">
        <f>VLOOKUP($C53,'ASDR FY1'!$A:$X,H$15,FALSE)/1000</f>
        <v>52859.494079999997</v>
      </c>
      <c r="I53" s="8"/>
      <c r="J53" s="7">
        <f>VLOOKUP($C53,'ASDR FY1'!$A:$X,J$15,FALSE)/1000</f>
        <v>0</v>
      </c>
      <c r="K53" s="9"/>
      <c r="L53" s="7">
        <f>VLOOKUP($C53,'ASDR FY1'!$A:$X,L$15,FALSE)/1000</f>
        <v>0</v>
      </c>
      <c r="M53" s="9"/>
      <c r="N53" s="7">
        <f>VLOOKUP($C53,'ASDR FY1'!$A:$X,N$14,FALSE)/1000+VLOOKUP($C53,'ASDR FY1'!$A:$X,N$15,FALSE)/1000</f>
        <v>0</v>
      </c>
      <c r="O53" s="8"/>
      <c r="P53" s="7">
        <f>SUM(H53,J53,L53,N53)</f>
        <v>52859.494079999997</v>
      </c>
      <c r="Q53" s="9"/>
      <c r="R53" s="7">
        <f>VLOOKUP($C53,'ASDR FY1'!$A:$X,R$15,FALSE)/1000</f>
        <v>52859.494079999997</v>
      </c>
    </row>
    <row r="54" spans="1:18" x14ac:dyDescent="0.25">
      <c r="A54" s="115">
        <f t="shared" si="0"/>
        <v>41</v>
      </c>
      <c r="B54" s="129"/>
      <c r="C54" s="115">
        <v>31644</v>
      </c>
      <c r="D54" s="110" t="s">
        <v>49</v>
      </c>
      <c r="F54" s="125">
        <f>VLOOKUP($C54,'ASDR FY1'!$A:$X,F$15,FALSE)*100</f>
        <v>1.7999999999999998</v>
      </c>
      <c r="G54" s="112"/>
      <c r="H54" s="7">
        <f>VLOOKUP($C54,'ASDR FY1'!$A:$X,H$15,FALSE)/1000</f>
        <v>5865.8117899999997</v>
      </c>
      <c r="I54" s="8"/>
      <c r="J54" s="7">
        <f>VLOOKUP($C54,'ASDR FY1'!$A:$X,J$15,FALSE)/1000</f>
        <v>0</v>
      </c>
      <c r="K54" s="9"/>
      <c r="L54" s="7">
        <f>VLOOKUP($C54,'ASDR FY1'!$A:$X,L$15,FALSE)/1000</f>
        <v>0</v>
      </c>
      <c r="M54" s="9"/>
      <c r="N54" s="7">
        <f>VLOOKUP($C54,'ASDR FY1'!$A:$X,N$14,FALSE)/1000+VLOOKUP($C54,'ASDR FY1'!$A:$X,N$15,FALSE)/1000</f>
        <v>0</v>
      </c>
      <c r="O54" s="8"/>
      <c r="P54" s="7">
        <f>SUM(H54,J54,L54,N54)</f>
        <v>5865.8117899999997</v>
      </c>
      <c r="Q54" s="9"/>
      <c r="R54" s="7">
        <f>VLOOKUP($C54,'ASDR FY1'!$A:$X,R$15,FALSE)/1000</f>
        <v>5865.8117899999997</v>
      </c>
    </row>
    <row r="55" spans="1:18" x14ac:dyDescent="0.25">
      <c r="A55" s="115">
        <f t="shared" si="0"/>
        <v>42</v>
      </c>
      <c r="B55" s="129"/>
      <c r="D55" s="128" t="s">
        <v>58</v>
      </c>
      <c r="E55" s="128"/>
      <c r="F55" s="130"/>
      <c r="H55" s="11">
        <f>SUM(H50:H54)</f>
        <v>537075.09861999971</v>
      </c>
      <c r="I55" s="14"/>
      <c r="J55" s="11">
        <f>SUM(J50:J54)</f>
        <v>17233.442320000002</v>
      </c>
      <c r="K55" s="14"/>
      <c r="L55" s="11">
        <f>SUM(L50:L54)</f>
        <v>-3446.68842</v>
      </c>
      <c r="M55" s="14"/>
      <c r="N55" s="11">
        <f>SUM(N50:N54)</f>
        <v>0</v>
      </c>
      <c r="O55" s="14"/>
      <c r="P55" s="11">
        <f>SUM(P50:P54)</f>
        <v>550861.85251999972</v>
      </c>
      <c r="Q55" s="14"/>
      <c r="R55" s="11">
        <f>SUM(R50:R54)</f>
        <v>548073.26871999993</v>
      </c>
    </row>
    <row r="56" spans="1:18" x14ac:dyDescent="0.25">
      <c r="A56" s="115">
        <f t="shared" si="0"/>
        <v>43</v>
      </c>
      <c r="B56" s="129"/>
      <c r="O56" s="112"/>
    </row>
    <row r="57" spans="1:18" ht="13.8" thickBot="1" x14ac:dyDescent="0.3">
      <c r="A57" s="116">
        <f t="shared" si="0"/>
        <v>44</v>
      </c>
      <c r="B57" s="19" t="s">
        <v>59</v>
      </c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31"/>
      <c r="P57" s="109"/>
      <c r="Q57" s="109"/>
      <c r="R57" s="109"/>
    </row>
    <row r="58" spans="1:18" x14ac:dyDescent="0.25">
      <c r="A58" s="111" t="s">
        <v>60</v>
      </c>
      <c r="O58" s="112"/>
      <c r="P58" s="110" t="s">
        <v>61</v>
      </c>
    </row>
    <row r="59" spans="1:18" ht="13.8" thickBot="1" x14ac:dyDescent="0.3">
      <c r="A59" s="109" t="str">
        <f>$A$1</f>
        <v>SCHEDULE B-07</v>
      </c>
      <c r="B59" s="109"/>
      <c r="C59" s="109"/>
      <c r="D59" s="109"/>
      <c r="E59" s="109"/>
      <c r="F59" s="109"/>
      <c r="G59" s="109" t="str">
        <f>$G$1</f>
        <v>PLANT BALANCES BY ACCOUNT AND SUB-ACCOUNT</v>
      </c>
      <c r="H59" s="109"/>
      <c r="I59" s="109"/>
      <c r="J59" s="109"/>
      <c r="K59" s="109"/>
      <c r="L59" s="109"/>
      <c r="M59" s="109"/>
      <c r="N59" s="109"/>
      <c r="O59" s="131"/>
      <c r="P59" s="109"/>
      <c r="Q59" s="109"/>
      <c r="R59" s="109" t="str">
        <f>"Page 12 of " &amp; $P$1</f>
        <v>Page 12 of 30</v>
      </c>
    </row>
    <row r="60" spans="1:18" x14ac:dyDescent="0.25">
      <c r="A60" s="110" t="str">
        <f>$A$2</f>
        <v>FLORIDA PUBLIC SERVICE COMMISSION</v>
      </c>
      <c r="B60" s="132"/>
      <c r="E60" s="112" t="str">
        <f>$E$2</f>
        <v xml:space="preserve">                  EXPLANATION:</v>
      </c>
      <c r="F60" s="110" t="str">
        <f>IF($F$2="","",$F$2)</f>
        <v>Provide the depreciation rate and plant balances for each account or sub-account to which</v>
      </c>
      <c r="J60" s="133"/>
      <c r="K60" s="133"/>
      <c r="M60" s="133"/>
      <c r="N60" s="133"/>
      <c r="O60" s="134"/>
      <c r="P60" s="110" t="str">
        <f>$P$2</f>
        <v>Type of data shown:</v>
      </c>
      <c r="R60" s="111"/>
    </row>
    <row r="61" spans="1:18" x14ac:dyDescent="0.25">
      <c r="B61" s="132"/>
      <c r="F61" s="110" t="str">
        <f>IF($F$3="","",$F$3)</f>
        <v>a separate depreciation rate is prescribed. (Include Amortization/Recovery schedule amounts).</v>
      </c>
      <c r="J61" s="112"/>
      <c r="K61" s="111"/>
      <c r="N61" s="112"/>
      <c r="O61" s="112" t="str">
        <f>IF($O$3=0,"",$O$3)</f>
        <v/>
      </c>
      <c r="P61" s="111" t="str">
        <f>$P$3</f>
        <v>Projected Test Year Ended 12/31/2025</v>
      </c>
      <c r="R61" s="112"/>
    </row>
    <row r="62" spans="1:18" x14ac:dyDescent="0.25">
      <c r="A62" s="110" t="str">
        <f>$A$4</f>
        <v>COMPANY: TAMPA ELECTRIC COMPANY</v>
      </c>
      <c r="B62" s="132"/>
      <c r="F62" s="110" t="str">
        <f>IF(+$F$4="","",$F$4)</f>
        <v/>
      </c>
      <c r="J62" s="112"/>
      <c r="K62" s="111"/>
      <c r="L62" s="112"/>
      <c r="O62" s="112" t="str">
        <f>IF($O$4=0,"",$O$4)</f>
        <v>XX</v>
      </c>
      <c r="P62" s="111" t="str">
        <f>$P$4</f>
        <v>Projected Prior Year Ended 12/31/2024</v>
      </c>
      <c r="R62" s="112"/>
    </row>
    <row r="63" spans="1:18" x14ac:dyDescent="0.25">
      <c r="B63" s="132"/>
      <c r="F63" s="110" t="str">
        <f>IF(+$F$5="","",$F$5)</f>
        <v/>
      </c>
      <c r="J63" s="112"/>
      <c r="K63" s="111"/>
      <c r="L63" s="112"/>
      <c r="O63" s="112" t="str">
        <f>IF($O$5=0,"",$O$5)</f>
        <v/>
      </c>
      <c r="P63" s="111" t="str">
        <f>$P$5</f>
        <v>Historical Prior Year Ended 12/31/2023</v>
      </c>
      <c r="R63" s="112"/>
    </row>
    <row r="64" spans="1:18" x14ac:dyDescent="0.25">
      <c r="J64" s="112"/>
      <c r="K64" s="111"/>
      <c r="L64" s="112"/>
      <c r="O64" s="112"/>
      <c r="P64" s="160" t="s">
        <v>573</v>
      </c>
      <c r="R64" s="112"/>
    </row>
    <row r="65" spans="1:18" x14ac:dyDescent="0.25">
      <c r="J65" s="112"/>
      <c r="K65" s="111"/>
      <c r="L65" s="112"/>
      <c r="O65" s="112"/>
      <c r="P65" s="160" t="s">
        <v>574</v>
      </c>
      <c r="R65" s="112"/>
    </row>
    <row r="66" spans="1:18" ht="13.8" thickBot="1" x14ac:dyDescent="0.3">
      <c r="A66" s="157" t="s">
        <v>572</v>
      </c>
      <c r="B66" s="109"/>
      <c r="C66" s="109"/>
      <c r="D66" s="109"/>
      <c r="E66" s="109"/>
      <c r="F66" s="109"/>
      <c r="G66" s="109"/>
      <c r="H66" s="116" t="s">
        <v>12</v>
      </c>
      <c r="I66" s="109"/>
      <c r="J66" s="109"/>
      <c r="K66" s="109"/>
      <c r="L66" s="109"/>
      <c r="M66" s="109"/>
      <c r="N66" s="109"/>
      <c r="O66" s="131"/>
      <c r="P66" s="161" t="s">
        <v>575</v>
      </c>
      <c r="Q66" s="109"/>
      <c r="R66" s="109"/>
    </row>
    <row r="67" spans="1:18" x14ac:dyDescent="0.25"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4"/>
      <c r="P67" s="113"/>
      <c r="Q67" s="113"/>
      <c r="R67" s="113"/>
    </row>
    <row r="68" spans="1:18" x14ac:dyDescent="0.25">
      <c r="C68" s="113" t="s">
        <v>13</v>
      </c>
      <c r="D68" s="113" t="s">
        <v>14</v>
      </c>
      <c r="E68" s="113"/>
      <c r="F68" s="113" t="s">
        <v>15</v>
      </c>
      <c r="G68" s="113"/>
      <c r="H68" s="113" t="s">
        <v>16</v>
      </c>
      <c r="I68" s="113"/>
      <c r="J68" s="115" t="s">
        <v>17</v>
      </c>
      <c r="K68" s="115"/>
      <c r="L68" s="113" t="s">
        <v>18</v>
      </c>
      <c r="M68" s="113"/>
      <c r="N68" s="113" t="s">
        <v>19</v>
      </c>
      <c r="O68" s="114"/>
      <c r="P68" s="113" t="s">
        <v>20</v>
      </c>
      <c r="Q68" s="113"/>
      <c r="R68" s="113" t="s">
        <v>21</v>
      </c>
    </row>
    <row r="69" spans="1:18" x14ac:dyDescent="0.25">
      <c r="C69" s="115" t="s">
        <v>22</v>
      </c>
      <c r="D69" s="115" t="s">
        <v>22</v>
      </c>
      <c r="F69" s="115" t="s">
        <v>23</v>
      </c>
      <c r="G69" s="115"/>
      <c r="H69" s="113" t="s">
        <v>24</v>
      </c>
      <c r="I69" s="115"/>
      <c r="J69" s="113" t="s">
        <v>25</v>
      </c>
      <c r="K69" s="115"/>
      <c r="L69" s="115" t="s">
        <v>25</v>
      </c>
      <c r="M69" s="115"/>
      <c r="O69" s="112"/>
      <c r="P69" s="115" t="s">
        <v>24</v>
      </c>
      <c r="R69" s="115"/>
    </row>
    <row r="70" spans="1:18" x14ac:dyDescent="0.25">
      <c r="A70" s="115" t="s">
        <v>26</v>
      </c>
      <c r="B70" s="115"/>
      <c r="C70" s="115" t="s">
        <v>27</v>
      </c>
      <c r="D70" s="115" t="s">
        <v>27</v>
      </c>
      <c r="E70" s="113"/>
      <c r="F70" s="115" t="s">
        <v>28</v>
      </c>
      <c r="G70" s="115"/>
      <c r="H70" s="115" t="s">
        <v>29</v>
      </c>
      <c r="I70" s="115"/>
      <c r="J70" s="115" t="s">
        <v>24</v>
      </c>
      <c r="K70" s="113"/>
      <c r="L70" s="115" t="s">
        <v>24</v>
      </c>
      <c r="M70" s="111"/>
      <c r="N70" s="115" t="s">
        <v>30</v>
      </c>
      <c r="O70" s="114"/>
      <c r="P70" s="113" t="s">
        <v>29</v>
      </c>
      <c r="Q70" s="113"/>
      <c r="R70" s="115" t="s">
        <v>31</v>
      </c>
    </row>
    <row r="71" spans="1:18" ht="13.8" thickBot="1" x14ac:dyDescent="0.3">
      <c r="A71" s="116" t="s">
        <v>32</v>
      </c>
      <c r="B71" s="116"/>
      <c r="C71" s="116" t="s">
        <v>33</v>
      </c>
      <c r="D71" s="116" t="s">
        <v>34</v>
      </c>
      <c r="E71" s="116"/>
      <c r="F71" s="117" t="s">
        <v>35</v>
      </c>
      <c r="G71" s="117"/>
      <c r="H71" s="117" t="s">
        <v>36</v>
      </c>
      <c r="I71" s="118"/>
      <c r="J71" s="117" t="s">
        <v>37</v>
      </c>
      <c r="K71" s="118"/>
      <c r="L71" s="118" t="s">
        <v>38</v>
      </c>
      <c r="M71" s="119"/>
      <c r="N71" s="119" t="s">
        <v>39</v>
      </c>
      <c r="O71" s="120"/>
      <c r="P71" s="119" t="s">
        <v>40</v>
      </c>
      <c r="Q71" s="119"/>
      <c r="R71" s="119" t="s">
        <v>41</v>
      </c>
    </row>
    <row r="72" spans="1:18" x14ac:dyDescent="0.25">
      <c r="A72" s="115">
        <v>1</v>
      </c>
      <c r="B72" s="115"/>
      <c r="O72" s="112"/>
    </row>
    <row r="73" spans="1:18" x14ac:dyDescent="0.25">
      <c r="A73" s="115">
        <f>A72+1</f>
        <v>2</v>
      </c>
      <c r="B73" s="121"/>
      <c r="D73" s="135" t="s">
        <v>62</v>
      </c>
      <c r="E73" s="128"/>
      <c r="F73" s="128"/>
      <c r="G73" s="128"/>
      <c r="O73" s="112"/>
    </row>
    <row r="74" spans="1:18" x14ac:dyDescent="0.25">
      <c r="A74" s="115">
        <f t="shared" ref="A74:A115" si="1">A73+1</f>
        <v>3</v>
      </c>
      <c r="B74" s="121"/>
      <c r="C74" s="115">
        <v>31145</v>
      </c>
      <c r="D74" s="110" t="s">
        <v>45</v>
      </c>
      <c r="F74" s="125">
        <f>VLOOKUP($C74,'ASDR FY1'!$A:$X,F$15,FALSE)*100</f>
        <v>2.1</v>
      </c>
      <c r="G74" s="112"/>
      <c r="H74" s="7">
        <f>VLOOKUP($C74,'ASDR FY1'!$A:$X,H$15,FALSE)/1000</f>
        <v>31998.663150000008</v>
      </c>
      <c r="I74" s="8"/>
      <c r="J74" s="7">
        <f>VLOOKUP($C74,'ASDR FY1'!$A:$X,J$15,FALSE)/1000</f>
        <v>0</v>
      </c>
      <c r="K74" s="9"/>
      <c r="L74" s="7">
        <f>VLOOKUP($C74,'ASDR FY1'!$A:$X,L$15,FALSE)/1000</f>
        <v>0</v>
      </c>
      <c r="M74" s="9"/>
      <c r="N74" s="7">
        <f>VLOOKUP($C74,'ASDR FY1'!$A:$X,N$14,FALSE)/1000+VLOOKUP($C74,'ASDR FY1'!$A:$X,N$15,FALSE)/1000</f>
        <v>0</v>
      </c>
      <c r="O74" s="8"/>
      <c r="P74" s="7">
        <f>SUM(H74,J74,L74,N74)</f>
        <v>31998.663150000008</v>
      </c>
      <c r="Q74" s="9"/>
      <c r="R74" s="7">
        <f>VLOOKUP($C74,'ASDR FY1'!$A:$X,R$15,FALSE)/1000</f>
        <v>31998.66315</v>
      </c>
    </row>
    <row r="75" spans="1:18" x14ac:dyDescent="0.25">
      <c r="A75" s="115">
        <f t="shared" si="1"/>
        <v>4</v>
      </c>
      <c r="B75" s="121"/>
      <c r="C75" s="115">
        <v>31245</v>
      </c>
      <c r="D75" s="110" t="s">
        <v>46</v>
      </c>
      <c r="F75" s="125">
        <f>VLOOKUP($C75,'ASDR FY1'!$A:$X,F$15,FALSE)*100</f>
        <v>3.1</v>
      </c>
      <c r="G75" s="112"/>
      <c r="H75" s="7">
        <f>VLOOKUP($C75,'ASDR FY1'!$A:$X,H$15,FALSE)/1000</f>
        <v>196281.6642599999</v>
      </c>
      <c r="I75" s="8"/>
      <c r="J75" s="7">
        <f>VLOOKUP($C75,'ASDR FY1'!$A:$X,J$15,FALSE)/1000</f>
        <v>1078.81097</v>
      </c>
      <c r="K75" s="9"/>
      <c r="L75" s="7">
        <f>VLOOKUP($C75,'ASDR FY1'!$A:$X,L$15,FALSE)/1000</f>
        <v>-215.76219</v>
      </c>
      <c r="M75" s="9"/>
      <c r="N75" s="7">
        <f>VLOOKUP($C75,'ASDR FY1'!$A:$X,N$14,FALSE)/1000+VLOOKUP($C75,'ASDR FY1'!$A:$X,N$15,FALSE)/1000</f>
        <v>0</v>
      </c>
      <c r="O75" s="8"/>
      <c r="P75" s="7">
        <f>SUM(H75,J75,L75,N75)</f>
        <v>197144.71303999989</v>
      </c>
      <c r="Q75" s="9"/>
      <c r="R75" s="7">
        <f>VLOOKUP($C75,'ASDR FY1'!$A:$X,R$15,FALSE)/1000</f>
        <v>196756.52374</v>
      </c>
    </row>
    <row r="76" spans="1:18" x14ac:dyDescent="0.25">
      <c r="A76" s="115">
        <f t="shared" si="1"/>
        <v>5</v>
      </c>
      <c r="B76" s="121"/>
      <c r="C76" s="115">
        <v>31545</v>
      </c>
      <c r="D76" s="110" t="s">
        <v>48</v>
      </c>
      <c r="F76" s="125">
        <f>VLOOKUP($C76,'ASDR FY1'!$A:$X,F$15,FALSE)*100</f>
        <v>2.4</v>
      </c>
      <c r="G76" s="112"/>
      <c r="H76" s="7">
        <f>VLOOKUP($C76,'ASDR FY1'!$A:$X,H$15,FALSE)/1000</f>
        <v>25986.695150000003</v>
      </c>
      <c r="I76" s="8"/>
      <c r="J76" s="7">
        <f>VLOOKUP($C76,'ASDR FY1'!$A:$X,J$15,FALSE)/1000</f>
        <v>1078.81097</v>
      </c>
      <c r="K76" s="9"/>
      <c r="L76" s="7">
        <f>VLOOKUP($C76,'ASDR FY1'!$A:$X,L$15,FALSE)/1000</f>
        <v>-215.76219</v>
      </c>
      <c r="M76" s="9"/>
      <c r="N76" s="7">
        <f>VLOOKUP($C76,'ASDR FY1'!$A:$X,N$14,FALSE)/1000+VLOOKUP($C76,'ASDR FY1'!$A:$X,N$15,FALSE)/1000</f>
        <v>0</v>
      </c>
      <c r="O76" s="8"/>
      <c r="P76" s="7">
        <f>SUM(H76,J76,L76,N76)</f>
        <v>26849.743930000001</v>
      </c>
      <c r="Q76" s="9"/>
      <c r="R76" s="7">
        <f>VLOOKUP($C76,'ASDR FY1'!$A:$X,R$15,FALSE)/1000</f>
        <v>26461.554629999999</v>
      </c>
    </row>
    <row r="77" spans="1:18" x14ac:dyDescent="0.25">
      <c r="A77" s="115">
        <f t="shared" si="1"/>
        <v>6</v>
      </c>
      <c r="B77" s="121"/>
      <c r="C77" s="115">
        <v>31645</v>
      </c>
      <c r="D77" s="110" t="s">
        <v>49</v>
      </c>
      <c r="F77" s="125">
        <f>VLOOKUP($C77,'ASDR FY1'!$A:$X,F$15,FALSE)*100</f>
        <v>0.6</v>
      </c>
      <c r="G77" s="112"/>
      <c r="H77" s="7">
        <f>VLOOKUP($C77,'ASDR FY1'!$A:$X,H$15,FALSE)/1000</f>
        <v>1694.8479500000001</v>
      </c>
      <c r="I77" s="8"/>
      <c r="J77" s="7">
        <f>VLOOKUP($C77,'ASDR FY1'!$A:$X,J$15,FALSE)/1000</f>
        <v>0</v>
      </c>
      <c r="K77" s="9"/>
      <c r="L77" s="7">
        <f>VLOOKUP($C77,'ASDR FY1'!$A:$X,L$15,FALSE)/1000</f>
        <v>0</v>
      </c>
      <c r="M77" s="9"/>
      <c r="N77" s="7">
        <f>VLOOKUP($C77,'ASDR FY1'!$A:$X,N$14,FALSE)/1000+VLOOKUP($C77,'ASDR FY1'!$A:$X,N$15,FALSE)/1000</f>
        <v>0</v>
      </c>
      <c r="O77" s="8"/>
      <c r="P77" s="7">
        <f>SUM(H77,J77,L77,N77)</f>
        <v>1694.8479500000001</v>
      </c>
      <c r="Q77" s="9"/>
      <c r="R77" s="7">
        <f>VLOOKUP($C77,'ASDR FY1'!$A:$X,R$15,FALSE)/1000</f>
        <v>1694.8479499999999</v>
      </c>
    </row>
    <row r="78" spans="1:18" x14ac:dyDescent="0.25">
      <c r="A78" s="115">
        <f t="shared" si="1"/>
        <v>7</v>
      </c>
      <c r="B78" s="115"/>
      <c r="C78" s="115"/>
      <c r="D78" s="135" t="s">
        <v>63</v>
      </c>
      <c r="E78" s="128"/>
      <c r="F78" s="125"/>
      <c r="H78" s="11">
        <f>SUM(H74:H77)</f>
        <v>255961.87050999992</v>
      </c>
      <c r="I78" s="14"/>
      <c r="J78" s="11">
        <f>SUM(J74:J77)</f>
        <v>2157.62194</v>
      </c>
      <c r="K78" s="14"/>
      <c r="L78" s="11">
        <f>SUM(L74:L77)</f>
        <v>-431.52438000000001</v>
      </c>
      <c r="M78" s="14"/>
      <c r="N78" s="11">
        <f>SUM(N74:N77)</f>
        <v>0</v>
      </c>
      <c r="O78" s="14"/>
      <c r="P78" s="11">
        <f>SUM(P74:P77)</f>
        <v>257687.96806999989</v>
      </c>
      <c r="Q78" s="14"/>
      <c r="R78" s="11">
        <f>SUM(R74:R77)</f>
        <v>256911.58947000001</v>
      </c>
    </row>
    <row r="79" spans="1:18" x14ac:dyDescent="0.25">
      <c r="A79" s="115">
        <f t="shared" si="1"/>
        <v>8</v>
      </c>
      <c r="B79" s="115"/>
      <c r="F79" s="126"/>
      <c r="O79" s="112"/>
    </row>
    <row r="80" spans="1:18" x14ac:dyDescent="0.25">
      <c r="A80" s="115">
        <f t="shared" si="1"/>
        <v>9</v>
      </c>
      <c r="B80" s="121"/>
      <c r="C80" s="115"/>
      <c r="D80" s="128" t="s">
        <v>64</v>
      </c>
      <c r="E80" s="128"/>
      <c r="F80" s="125"/>
      <c r="G80" s="128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</row>
    <row r="81" spans="1:18" x14ac:dyDescent="0.25">
      <c r="A81" s="115">
        <f t="shared" si="1"/>
        <v>10</v>
      </c>
      <c r="B81" s="121"/>
      <c r="C81" s="115">
        <v>31146</v>
      </c>
      <c r="D81" s="110" t="s">
        <v>45</v>
      </c>
      <c r="F81" s="125">
        <f>VLOOKUP($C81,'ASDR FY1'!$A:$X,F$15,FALSE)*100</f>
        <v>2.9000000000000004</v>
      </c>
      <c r="G81" s="112"/>
      <c r="H81" s="7">
        <f>VLOOKUP($C81,'ASDR FY1'!$A:$X,H$15,FALSE)/1000</f>
        <v>0</v>
      </c>
      <c r="I81" s="8"/>
      <c r="J81" s="7">
        <f>VLOOKUP($C81,'ASDR FY1'!$A:$X,J$15,FALSE)/1000</f>
        <v>0</v>
      </c>
      <c r="K81" s="9"/>
      <c r="L81" s="7">
        <f>VLOOKUP($C81,'ASDR FY1'!$A:$X,L$15,FALSE)/1000</f>
        <v>0</v>
      </c>
      <c r="M81" s="9"/>
      <c r="N81" s="7">
        <f>VLOOKUP($C81,'ASDR FY1'!$A:$X,N$14,FALSE)/1000+VLOOKUP($C81,'ASDR FY1'!$A:$X,N$15,FALSE)/1000</f>
        <v>0</v>
      </c>
      <c r="O81" s="8"/>
      <c r="P81" s="7">
        <f>SUM(H81,J81,L81,N81)</f>
        <v>0</v>
      </c>
      <c r="Q81" s="9"/>
      <c r="R81" s="7">
        <f>VLOOKUP($C81,'ASDR FY1'!$A:$X,R$15,FALSE)/1000</f>
        <v>0</v>
      </c>
    </row>
    <row r="82" spans="1:18" x14ac:dyDescent="0.25">
      <c r="A82" s="115">
        <f t="shared" si="1"/>
        <v>11</v>
      </c>
      <c r="B82" s="121"/>
      <c r="C82" s="115">
        <v>31246</v>
      </c>
      <c r="D82" s="110" t="s">
        <v>46</v>
      </c>
      <c r="F82" s="125">
        <f>VLOOKUP($C82,'ASDR FY1'!$A:$X,F$15,FALSE)*100</f>
        <v>4.3</v>
      </c>
      <c r="G82" s="112"/>
      <c r="H82" s="7">
        <f>VLOOKUP($C82,'ASDR FY1'!$A:$X,H$15,FALSE)/1000</f>
        <v>0</v>
      </c>
      <c r="I82" s="8"/>
      <c r="J82" s="7">
        <f>VLOOKUP($C82,'ASDR FY1'!$A:$X,J$15,FALSE)/1000</f>
        <v>0</v>
      </c>
      <c r="K82" s="9"/>
      <c r="L82" s="7">
        <f>VLOOKUP($C82,'ASDR FY1'!$A:$X,L$15,FALSE)/1000</f>
        <v>0</v>
      </c>
      <c r="M82" s="9"/>
      <c r="N82" s="7">
        <f>VLOOKUP($C82,'ASDR FY1'!$A:$X,N$14,FALSE)/1000+VLOOKUP($C82,'ASDR FY1'!$A:$X,N$15,FALSE)/1000</f>
        <v>0</v>
      </c>
      <c r="O82" s="8"/>
      <c r="P82" s="7">
        <f>SUM(H82,J82,L82,N82)</f>
        <v>0</v>
      </c>
      <c r="Q82" s="9"/>
      <c r="R82" s="7">
        <f>VLOOKUP($C82,'ASDR FY1'!$A:$X,R$15,FALSE)/1000</f>
        <v>0</v>
      </c>
    </row>
    <row r="83" spans="1:18" x14ac:dyDescent="0.25">
      <c r="A83" s="115">
        <f t="shared" si="1"/>
        <v>12</v>
      </c>
      <c r="B83" s="121"/>
      <c r="C83" s="115">
        <v>31546</v>
      </c>
      <c r="D83" s="110" t="s">
        <v>48</v>
      </c>
      <c r="F83" s="125">
        <f>VLOOKUP($C83,'ASDR FY1'!$A:$X,F$15,FALSE)*100</f>
        <v>3.5000000000000004</v>
      </c>
      <c r="G83" s="112"/>
      <c r="H83" s="7">
        <f>VLOOKUP($C83,'ASDR FY1'!$A:$X,H$15,FALSE)/1000</f>
        <v>0</v>
      </c>
      <c r="I83" s="8"/>
      <c r="J83" s="7">
        <f>VLOOKUP($C83,'ASDR FY1'!$A:$X,J$15,FALSE)/1000</f>
        <v>0</v>
      </c>
      <c r="K83" s="9"/>
      <c r="L83" s="7">
        <f>VLOOKUP($C83,'ASDR FY1'!$A:$X,L$15,FALSE)/1000</f>
        <v>0</v>
      </c>
      <c r="M83" s="9"/>
      <c r="N83" s="7">
        <f>VLOOKUP($C83,'ASDR FY1'!$A:$X,N$14,FALSE)/1000+VLOOKUP($C83,'ASDR FY1'!$A:$X,N$15,FALSE)/1000</f>
        <v>0</v>
      </c>
      <c r="O83" s="8"/>
      <c r="P83" s="7">
        <f>SUM(H83,J83,L83,N83)</f>
        <v>0</v>
      </c>
      <c r="Q83" s="9"/>
      <c r="R83" s="7">
        <f>VLOOKUP($C83,'ASDR FY1'!$A:$X,R$15,FALSE)/1000</f>
        <v>0</v>
      </c>
    </row>
    <row r="84" spans="1:18" x14ac:dyDescent="0.25">
      <c r="A84" s="115">
        <f t="shared" si="1"/>
        <v>13</v>
      </c>
      <c r="B84" s="121"/>
      <c r="C84" s="115">
        <v>31646</v>
      </c>
      <c r="D84" s="110" t="s">
        <v>49</v>
      </c>
      <c r="F84" s="125">
        <f>VLOOKUP($C84,'ASDR FY1'!$A:$X,F$15,FALSE)*100</f>
        <v>2.7</v>
      </c>
      <c r="G84" s="112"/>
      <c r="H84" s="7">
        <f>VLOOKUP($C84,'ASDR FY1'!$A:$X,H$15,FALSE)/1000</f>
        <v>0</v>
      </c>
      <c r="I84" s="8"/>
      <c r="J84" s="7">
        <f>VLOOKUP($C84,'ASDR FY1'!$A:$X,J$15,FALSE)/1000</f>
        <v>0</v>
      </c>
      <c r="K84" s="9"/>
      <c r="L84" s="7">
        <f>VLOOKUP($C84,'ASDR FY1'!$A:$X,L$15,FALSE)/1000</f>
        <v>0</v>
      </c>
      <c r="M84" s="9"/>
      <c r="N84" s="7">
        <f>VLOOKUP($C84,'ASDR FY1'!$A:$X,N$14,FALSE)/1000+VLOOKUP($C84,'ASDR FY1'!$A:$X,N$15,FALSE)/1000</f>
        <v>0</v>
      </c>
      <c r="O84" s="8"/>
      <c r="P84" s="7">
        <f>SUM(H84,J84,L84,N84)</f>
        <v>0</v>
      </c>
      <c r="Q84" s="9"/>
      <c r="R84" s="7">
        <f>VLOOKUP($C84,'ASDR FY1'!$A:$X,R$15,FALSE)/1000</f>
        <v>0</v>
      </c>
    </row>
    <row r="85" spans="1:18" x14ac:dyDescent="0.25">
      <c r="A85" s="115">
        <f t="shared" si="1"/>
        <v>14</v>
      </c>
      <c r="B85" s="121"/>
      <c r="C85" s="115"/>
      <c r="D85" s="128" t="s">
        <v>65</v>
      </c>
      <c r="E85" s="128"/>
      <c r="F85" s="125"/>
      <c r="H85" s="11">
        <f>SUM(H81:H84)</f>
        <v>0</v>
      </c>
      <c r="I85" s="14"/>
      <c r="J85" s="11">
        <f>SUM(J81:J84)</f>
        <v>0</v>
      </c>
      <c r="K85" s="14"/>
      <c r="L85" s="11">
        <f>SUM(L81:L84)</f>
        <v>0</v>
      </c>
      <c r="M85" s="14"/>
      <c r="N85" s="11">
        <f>SUM(N81:N84)</f>
        <v>0</v>
      </c>
      <c r="O85" s="14"/>
      <c r="P85" s="11">
        <f>SUM(P81:P84)</f>
        <v>0</v>
      </c>
      <c r="Q85" s="14"/>
      <c r="R85" s="11">
        <f>SUM(R81:R84)</f>
        <v>0</v>
      </c>
    </row>
    <row r="86" spans="1:18" x14ac:dyDescent="0.25">
      <c r="A86" s="115">
        <f t="shared" si="1"/>
        <v>15</v>
      </c>
      <c r="B86" s="121"/>
      <c r="F86" s="126"/>
      <c r="O86" s="112"/>
    </row>
    <row r="87" spans="1:18" x14ac:dyDescent="0.25">
      <c r="A87" s="115">
        <f t="shared" si="1"/>
        <v>16</v>
      </c>
      <c r="B87" s="121"/>
      <c r="C87" s="114"/>
      <c r="D87" s="135" t="s">
        <v>66</v>
      </c>
      <c r="F87" s="125"/>
      <c r="H87" s="20"/>
      <c r="I87" s="14"/>
      <c r="J87" s="20"/>
      <c r="K87" s="14"/>
      <c r="L87" s="20"/>
      <c r="M87" s="14"/>
      <c r="N87" s="20"/>
      <c r="O87" s="14"/>
      <c r="P87" s="20"/>
      <c r="Q87" s="14"/>
      <c r="R87" s="20"/>
    </row>
    <row r="88" spans="1:18" x14ac:dyDescent="0.25">
      <c r="A88" s="115">
        <f t="shared" si="1"/>
        <v>17</v>
      </c>
      <c r="B88" s="121"/>
      <c r="C88" s="115">
        <v>31151</v>
      </c>
      <c r="D88" s="110" t="s">
        <v>45</v>
      </c>
      <c r="F88" s="125">
        <f>VLOOKUP($C88,'ASDR FY1'!$A:$X,F$15,FALSE)*100</f>
        <v>4</v>
      </c>
      <c r="G88" s="112"/>
      <c r="H88" s="7">
        <f>VLOOKUP($C88,'ASDR FY1'!$A:$X,H$15,FALSE)/1000</f>
        <v>0</v>
      </c>
      <c r="I88" s="8"/>
      <c r="J88" s="7">
        <f>VLOOKUP($C88,'ASDR FY1'!$A:$X,J$15,FALSE)/1000</f>
        <v>0</v>
      </c>
      <c r="K88" s="9"/>
      <c r="L88" s="7">
        <f>VLOOKUP($C88,'ASDR FY1'!$A:$X,L$15,FALSE)/1000</f>
        <v>0</v>
      </c>
      <c r="M88" s="9"/>
      <c r="N88" s="7">
        <f>VLOOKUP($C88,'ASDR FY1'!$A:$X,N$14,FALSE)/1000+VLOOKUP($C88,'ASDR FY1'!$A:$X,N$15,FALSE)/1000</f>
        <v>0</v>
      </c>
      <c r="O88" s="8"/>
      <c r="P88" s="7">
        <f>SUM(H88,J88,L88,N88)</f>
        <v>0</v>
      </c>
      <c r="Q88" s="9"/>
      <c r="R88" s="7">
        <f>VLOOKUP($C88,'ASDR FY1'!$A:$X,R$15,FALSE)/1000</f>
        <v>0</v>
      </c>
    </row>
    <row r="89" spans="1:18" x14ac:dyDescent="0.25">
      <c r="A89" s="115">
        <f t="shared" si="1"/>
        <v>18</v>
      </c>
      <c r="B89" s="121"/>
      <c r="C89" s="115">
        <v>31251</v>
      </c>
      <c r="D89" s="110" t="s">
        <v>46</v>
      </c>
      <c r="F89" s="125">
        <f>VLOOKUP($C89,'ASDR FY1'!$A:$X,F$15,FALSE)*100</f>
        <v>4.3</v>
      </c>
      <c r="G89" s="112"/>
      <c r="H89" s="7">
        <f>VLOOKUP($C89,'ASDR FY1'!$A:$X,H$15,FALSE)/1000</f>
        <v>0</v>
      </c>
      <c r="I89" s="8"/>
      <c r="J89" s="7">
        <f>VLOOKUP($C89,'ASDR FY1'!$A:$X,J$15,FALSE)/1000</f>
        <v>0</v>
      </c>
      <c r="K89" s="9"/>
      <c r="L89" s="7">
        <f>VLOOKUP($C89,'ASDR FY1'!$A:$X,L$15,FALSE)/1000</f>
        <v>0</v>
      </c>
      <c r="M89" s="9"/>
      <c r="N89" s="7">
        <f>VLOOKUP($C89,'ASDR FY1'!$A:$X,N$14,FALSE)/1000+VLOOKUP($C89,'ASDR FY1'!$A:$X,N$15,FALSE)/1000</f>
        <v>0</v>
      </c>
      <c r="O89" s="8"/>
      <c r="P89" s="7">
        <f>SUM(H89,J89,L89,N89)</f>
        <v>0</v>
      </c>
      <c r="Q89" s="9"/>
      <c r="R89" s="7">
        <f>VLOOKUP($C89,'ASDR FY1'!$A:$X,R$15,FALSE)/1000</f>
        <v>0</v>
      </c>
    </row>
    <row r="90" spans="1:18" x14ac:dyDescent="0.25">
      <c r="A90" s="115">
        <f t="shared" si="1"/>
        <v>19</v>
      </c>
      <c r="B90" s="121"/>
      <c r="C90" s="115">
        <v>31551</v>
      </c>
      <c r="D90" s="110" t="s">
        <v>48</v>
      </c>
      <c r="F90" s="125">
        <f>VLOOKUP($C90,'ASDR FY1'!$A:$X,F$15,FALSE)*100</f>
        <v>4</v>
      </c>
      <c r="G90" s="112"/>
      <c r="H90" s="7">
        <f>VLOOKUP($C90,'ASDR FY1'!$A:$X,H$15,FALSE)/1000</f>
        <v>0</v>
      </c>
      <c r="I90" s="8"/>
      <c r="J90" s="7">
        <f>VLOOKUP($C90,'ASDR FY1'!$A:$X,J$15,FALSE)/1000</f>
        <v>0</v>
      </c>
      <c r="K90" s="9"/>
      <c r="L90" s="7">
        <f>VLOOKUP($C90,'ASDR FY1'!$A:$X,L$15,FALSE)/1000</f>
        <v>0</v>
      </c>
      <c r="M90" s="9"/>
      <c r="N90" s="7">
        <f>VLOOKUP($C90,'ASDR FY1'!$A:$X,N$14,FALSE)/1000+VLOOKUP($C90,'ASDR FY1'!$A:$X,N$15,FALSE)/1000</f>
        <v>0</v>
      </c>
      <c r="O90" s="8"/>
      <c r="P90" s="7">
        <f>SUM(H90,J90,L90,N90)</f>
        <v>0</v>
      </c>
      <c r="Q90" s="9"/>
      <c r="R90" s="7">
        <f>VLOOKUP($C90,'ASDR FY1'!$A:$X,R$15,FALSE)/1000</f>
        <v>0</v>
      </c>
    </row>
    <row r="91" spans="1:18" x14ac:dyDescent="0.25">
      <c r="A91" s="115">
        <f t="shared" si="1"/>
        <v>20</v>
      </c>
      <c r="B91" s="121"/>
      <c r="C91" s="115">
        <v>31651</v>
      </c>
      <c r="D91" s="110" t="s">
        <v>67</v>
      </c>
      <c r="F91" s="125">
        <f>VLOOKUP($C91,'ASDR FY1'!$A:$X,F$15,FALSE)*100</f>
        <v>4</v>
      </c>
      <c r="G91" s="112"/>
      <c r="H91" s="7">
        <f>VLOOKUP($C91,'ASDR FY1'!$A:$X,H$15,FALSE)/1000</f>
        <v>0</v>
      </c>
      <c r="I91" s="8"/>
      <c r="J91" s="7">
        <f>VLOOKUP($C91,'ASDR FY1'!$A:$X,J$15,FALSE)/1000</f>
        <v>0</v>
      </c>
      <c r="K91" s="9"/>
      <c r="L91" s="7">
        <f>VLOOKUP($C91,'ASDR FY1'!$A:$X,L$15,FALSE)/1000</f>
        <v>0</v>
      </c>
      <c r="M91" s="9"/>
      <c r="N91" s="7">
        <f>VLOOKUP($C91,'ASDR FY1'!$A:$X,N$14,FALSE)/1000+VLOOKUP($C91,'ASDR FY1'!$A:$X,N$15,FALSE)/1000</f>
        <v>0</v>
      </c>
      <c r="O91" s="8"/>
      <c r="P91" s="7">
        <f>SUM(H91,J91,L91,N91)</f>
        <v>0</v>
      </c>
      <c r="Q91" s="9"/>
      <c r="R91" s="7">
        <f>VLOOKUP($C91,'ASDR FY1'!$A:$X,R$15,FALSE)/1000</f>
        <v>0</v>
      </c>
    </row>
    <row r="92" spans="1:18" x14ac:dyDescent="0.25">
      <c r="A92" s="115">
        <f t="shared" si="1"/>
        <v>21</v>
      </c>
      <c r="B92" s="121"/>
      <c r="C92" s="115"/>
      <c r="D92" s="136" t="s">
        <v>68</v>
      </c>
      <c r="F92" s="126"/>
      <c r="H92" s="11">
        <f>SUM(H88:H91)</f>
        <v>0</v>
      </c>
      <c r="I92" s="14"/>
      <c r="J92" s="11">
        <f>SUM(J88:J91)</f>
        <v>0</v>
      </c>
      <c r="K92" s="14"/>
      <c r="L92" s="11">
        <f>SUM(L88:L91)</f>
        <v>0</v>
      </c>
      <c r="M92" s="14"/>
      <c r="N92" s="11">
        <f>SUM(N88:N91)</f>
        <v>0</v>
      </c>
      <c r="O92" s="14"/>
      <c r="P92" s="11">
        <f>SUM(P88:P91)</f>
        <v>0</v>
      </c>
      <c r="Q92" s="14"/>
      <c r="R92" s="11">
        <f>SUM(R88:R91)</f>
        <v>0</v>
      </c>
    </row>
    <row r="93" spans="1:18" x14ac:dyDescent="0.25">
      <c r="A93" s="115">
        <f t="shared" si="1"/>
        <v>22</v>
      </c>
      <c r="B93" s="121"/>
      <c r="F93" s="126"/>
      <c r="O93" s="112"/>
    </row>
    <row r="94" spans="1:18" x14ac:dyDescent="0.25">
      <c r="A94" s="115">
        <f t="shared" si="1"/>
        <v>23</v>
      </c>
      <c r="B94" s="121"/>
      <c r="C94" s="114"/>
      <c r="D94" s="135" t="s">
        <v>69</v>
      </c>
      <c r="E94" s="128"/>
      <c r="F94" s="125"/>
      <c r="G94" s="128"/>
      <c r="H94" s="14"/>
      <c r="I94" s="14"/>
      <c r="J94" s="14"/>
      <c r="K94" s="14"/>
      <c r="L94" s="14"/>
      <c r="M94" s="14"/>
      <c r="N94" s="13"/>
      <c r="O94" s="13"/>
      <c r="P94" s="13"/>
      <c r="Q94" s="13"/>
      <c r="R94" s="14"/>
    </row>
    <row r="95" spans="1:18" x14ac:dyDescent="0.25">
      <c r="A95" s="115">
        <f t="shared" si="1"/>
        <v>24</v>
      </c>
      <c r="B95" s="121"/>
      <c r="C95" s="115">
        <v>31152</v>
      </c>
      <c r="D95" s="110" t="s">
        <v>45</v>
      </c>
      <c r="F95" s="125">
        <f>VLOOKUP($C95,'ASDR FY1'!$A:$X,F$15,FALSE)*100</f>
        <v>3.5000000000000004</v>
      </c>
      <c r="G95" s="112"/>
      <c r="H95" s="7">
        <f>VLOOKUP($C95,'ASDR FY1'!$A:$X,H$15,FALSE)/1000</f>
        <v>0</v>
      </c>
      <c r="I95" s="8"/>
      <c r="J95" s="7">
        <f>VLOOKUP($C95,'ASDR FY1'!$A:$X,J$15,FALSE)/1000</f>
        <v>0</v>
      </c>
      <c r="K95" s="9"/>
      <c r="L95" s="7">
        <f>VLOOKUP($C95,'ASDR FY1'!$A:$X,L$15,FALSE)/1000</f>
        <v>0</v>
      </c>
      <c r="M95" s="9"/>
      <c r="N95" s="7">
        <f>VLOOKUP($C95,'ASDR FY1'!$A:$X,N$14,FALSE)/1000+VLOOKUP($C95,'ASDR FY1'!$A:$X,N$15,FALSE)/1000</f>
        <v>0</v>
      </c>
      <c r="O95" s="8"/>
      <c r="P95" s="7">
        <f>SUM(H95,J95,L95,N95)</f>
        <v>0</v>
      </c>
      <c r="Q95" s="9"/>
      <c r="R95" s="7">
        <f>VLOOKUP($C95,'ASDR FY1'!$A:$X,R$15,FALSE)/1000</f>
        <v>0</v>
      </c>
    </row>
    <row r="96" spans="1:18" x14ac:dyDescent="0.25">
      <c r="A96" s="115">
        <f t="shared" si="1"/>
        <v>25</v>
      </c>
      <c r="B96" s="121"/>
      <c r="C96" s="115">
        <v>31252</v>
      </c>
      <c r="D96" s="110" t="s">
        <v>46</v>
      </c>
      <c r="F96" s="125">
        <f>VLOOKUP($C96,'ASDR FY1'!$A:$X,F$15,FALSE)*100</f>
        <v>4.2</v>
      </c>
      <c r="G96" s="112"/>
      <c r="H96" s="7">
        <f>VLOOKUP($C96,'ASDR FY1'!$A:$X,H$15,FALSE)/1000</f>
        <v>0</v>
      </c>
      <c r="I96" s="8"/>
      <c r="J96" s="7">
        <f>VLOOKUP($C96,'ASDR FY1'!$A:$X,J$15,FALSE)/1000</f>
        <v>0</v>
      </c>
      <c r="K96" s="9"/>
      <c r="L96" s="7">
        <f>VLOOKUP($C96,'ASDR FY1'!$A:$X,L$15,FALSE)/1000</f>
        <v>0</v>
      </c>
      <c r="M96" s="9"/>
      <c r="N96" s="7">
        <f>VLOOKUP($C96,'ASDR FY1'!$A:$X,N$14,FALSE)/1000+VLOOKUP($C96,'ASDR FY1'!$A:$X,N$15,FALSE)/1000</f>
        <v>0</v>
      </c>
      <c r="O96" s="8"/>
      <c r="P96" s="7">
        <f>SUM(H96,J96,L96,N96)</f>
        <v>0</v>
      </c>
      <c r="Q96" s="9"/>
      <c r="R96" s="7">
        <f>VLOOKUP($C96,'ASDR FY1'!$A:$X,R$15,FALSE)/1000</f>
        <v>0</v>
      </c>
    </row>
    <row r="97" spans="1:18" x14ac:dyDescent="0.25">
      <c r="A97" s="115">
        <f t="shared" si="1"/>
        <v>26</v>
      </c>
      <c r="B97" s="121"/>
      <c r="C97" s="115">
        <v>31552</v>
      </c>
      <c r="D97" s="110" t="s">
        <v>48</v>
      </c>
      <c r="F97" s="125">
        <f>VLOOKUP($C97,'ASDR FY1'!$A:$X,F$15,FALSE)*100</f>
        <v>3.6999999999999997</v>
      </c>
      <c r="G97" s="112"/>
      <c r="H97" s="7">
        <f>VLOOKUP($C97,'ASDR FY1'!$A:$X,H$15,FALSE)/1000</f>
        <v>0</v>
      </c>
      <c r="I97" s="8"/>
      <c r="J97" s="7">
        <f>VLOOKUP($C97,'ASDR FY1'!$A:$X,J$15,FALSE)/1000</f>
        <v>0</v>
      </c>
      <c r="K97" s="9"/>
      <c r="L97" s="7">
        <f>VLOOKUP($C97,'ASDR FY1'!$A:$X,L$15,FALSE)/1000</f>
        <v>0</v>
      </c>
      <c r="M97" s="9"/>
      <c r="N97" s="7">
        <f>VLOOKUP($C97,'ASDR FY1'!$A:$X,N$14,FALSE)/1000+VLOOKUP($C97,'ASDR FY1'!$A:$X,N$15,FALSE)/1000</f>
        <v>0</v>
      </c>
      <c r="O97" s="8"/>
      <c r="P97" s="7">
        <f>SUM(H97,J97,L97,N97)</f>
        <v>0</v>
      </c>
      <c r="Q97" s="9"/>
      <c r="R97" s="7">
        <f>VLOOKUP($C97,'ASDR FY1'!$A:$X,R$15,FALSE)/1000</f>
        <v>0</v>
      </c>
    </row>
    <row r="98" spans="1:18" x14ac:dyDescent="0.25">
      <c r="A98" s="115">
        <f t="shared" si="1"/>
        <v>27</v>
      </c>
      <c r="B98" s="121"/>
      <c r="C98" s="115">
        <v>31652</v>
      </c>
      <c r="D98" s="110" t="s">
        <v>49</v>
      </c>
      <c r="F98" s="125">
        <f>VLOOKUP($C98,'ASDR FY1'!$A:$X,F$15,FALSE)*100</f>
        <v>3.4000000000000004</v>
      </c>
      <c r="G98" s="112"/>
      <c r="H98" s="7">
        <f>VLOOKUP($C98,'ASDR FY1'!$A:$X,H$15,FALSE)/1000</f>
        <v>0</v>
      </c>
      <c r="I98" s="8"/>
      <c r="J98" s="7">
        <f>VLOOKUP($C98,'ASDR FY1'!$A:$X,J$15,FALSE)/1000</f>
        <v>0</v>
      </c>
      <c r="K98" s="9"/>
      <c r="L98" s="7">
        <f>VLOOKUP($C98,'ASDR FY1'!$A:$X,L$15,FALSE)/1000</f>
        <v>0</v>
      </c>
      <c r="M98" s="9"/>
      <c r="N98" s="7">
        <f>VLOOKUP($C98,'ASDR FY1'!$A:$X,N$14,FALSE)/1000+VLOOKUP($C98,'ASDR FY1'!$A:$X,N$15,FALSE)/1000</f>
        <v>0</v>
      </c>
      <c r="O98" s="8"/>
      <c r="P98" s="7">
        <f>SUM(H98,J98,L98,N98)</f>
        <v>0</v>
      </c>
      <c r="Q98" s="9"/>
      <c r="R98" s="7">
        <f>VLOOKUP($C98,'ASDR FY1'!$A:$X,R$15,FALSE)/1000</f>
        <v>0</v>
      </c>
    </row>
    <row r="99" spans="1:18" x14ac:dyDescent="0.25">
      <c r="A99" s="115">
        <f t="shared" si="1"/>
        <v>28</v>
      </c>
      <c r="B99" s="121"/>
      <c r="D99" s="135" t="s">
        <v>70</v>
      </c>
      <c r="E99" s="128"/>
      <c r="F99" s="125"/>
      <c r="H99" s="11">
        <f>SUM(H95:H98)</f>
        <v>0</v>
      </c>
      <c r="I99" s="14"/>
      <c r="J99" s="11">
        <f>SUM(J95:J98)</f>
        <v>0</v>
      </c>
      <c r="K99" s="14"/>
      <c r="L99" s="11">
        <f>SUM(L95:L98)</f>
        <v>0</v>
      </c>
      <c r="M99" s="14"/>
      <c r="N99" s="11">
        <f>SUM(N95:N98)</f>
        <v>0</v>
      </c>
      <c r="O99" s="14"/>
      <c r="P99" s="11">
        <f>SUM(P95:P98)</f>
        <v>0</v>
      </c>
      <c r="Q99" s="14"/>
      <c r="R99" s="11">
        <f>SUM(R95:R98)</f>
        <v>0</v>
      </c>
    </row>
    <row r="100" spans="1:18" x14ac:dyDescent="0.25">
      <c r="A100" s="115">
        <f t="shared" si="1"/>
        <v>29</v>
      </c>
      <c r="B100" s="121"/>
      <c r="F100" s="126"/>
      <c r="O100" s="112"/>
    </row>
    <row r="101" spans="1:18" x14ac:dyDescent="0.25">
      <c r="A101" s="115">
        <f t="shared" si="1"/>
        <v>30</v>
      </c>
      <c r="B101" s="121"/>
      <c r="C101" s="114"/>
      <c r="D101" s="135" t="s">
        <v>71</v>
      </c>
      <c r="E101" s="128"/>
      <c r="F101" s="126"/>
      <c r="G101" s="128"/>
      <c r="O101" s="112"/>
    </row>
    <row r="102" spans="1:18" x14ac:dyDescent="0.25">
      <c r="A102" s="115">
        <f t="shared" si="1"/>
        <v>31</v>
      </c>
      <c r="B102" s="121"/>
      <c r="C102" s="115">
        <v>31153</v>
      </c>
      <c r="D102" s="110" t="s">
        <v>45</v>
      </c>
      <c r="F102" s="125">
        <f>VLOOKUP($C102,'ASDR FY1'!$A:$X,F$15,FALSE)*100</f>
        <v>3.1</v>
      </c>
      <c r="G102" s="112"/>
      <c r="H102" s="7">
        <f>VLOOKUP($C102,'ASDR FY1'!$A:$X,H$15,FALSE)/1000</f>
        <v>0</v>
      </c>
      <c r="I102" s="8"/>
      <c r="J102" s="7">
        <f>VLOOKUP($C102,'ASDR FY1'!$A:$X,J$15,FALSE)/1000</f>
        <v>0</v>
      </c>
      <c r="K102" s="9"/>
      <c r="L102" s="7">
        <f>VLOOKUP($C102,'ASDR FY1'!$A:$X,L$15,FALSE)/1000</f>
        <v>0</v>
      </c>
      <c r="M102" s="9"/>
      <c r="N102" s="7">
        <f>VLOOKUP($C102,'ASDR FY1'!$A:$X,N$14,FALSE)/1000+VLOOKUP($C102,'ASDR FY1'!$A:$X,N$15,FALSE)/1000</f>
        <v>0</v>
      </c>
      <c r="O102" s="8"/>
      <c r="P102" s="7">
        <f>SUM(H102,J102,L102,N102)</f>
        <v>0</v>
      </c>
      <c r="Q102" s="9"/>
      <c r="R102" s="7">
        <f>VLOOKUP($C102,'ASDR FY1'!$A:$X,R$15,FALSE)/1000</f>
        <v>0</v>
      </c>
    </row>
    <row r="103" spans="1:18" x14ac:dyDescent="0.25">
      <c r="A103" s="115">
        <f t="shared" si="1"/>
        <v>32</v>
      </c>
      <c r="B103" s="121"/>
      <c r="C103" s="115">
        <v>31253</v>
      </c>
      <c r="D103" s="110" t="s">
        <v>46</v>
      </c>
      <c r="F103" s="125">
        <f>VLOOKUP($C103,'ASDR FY1'!$A:$X,F$15,FALSE)*100</f>
        <v>3.5000000000000004</v>
      </c>
      <c r="G103" s="112"/>
      <c r="H103" s="7">
        <f>VLOOKUP($C103,'ASDR FY1'!$A:$X,H$15,FALSE)/1000</f>
        <v>0</v>
      </c>
      <c r="I103" s="8"/>
      <c r="J103" s="7">
        <f>VLOOKUP($C103,'ASDR FY1'!$A:$X,J$15,FALSE)/1000</f>
        <v>0</v>
      </c>
      <c r="K103" s="9"/>
      <c r="L103" s="7">
        <f>VLOOKUP($C103,'ASDR FY1'!$A:$X,L$15,FALSE)/1000</f>
        <v>0</v>
      </c>
      <c r="M103" s="9"/>
      <c r="N103" s="7">
        <f>VLOOKUP($C103,'ASDR FY1'!$A:$X,N$14,FALSE)/1000+VLOOKUP($C103,'ASDR FY1'!$A:$X,N$15,FALSE)/1000</f>
        <v>0</v>
      </c>
      <c r="O103" s="8"/>
      <c r="P103" s="7">
        <f>SUM(H103,J103,L103,N103)</f>
        <v>0</v>
      </c>
      <c r="Q103" s="9"/>
      <c r="R103" s="7">
        <f>VLOOKUP($C103,'ASDR FY1'!$A:$X,R$15,FALSE)/1000</f>
        <v>0</v>
      </c>
    </row>
    <row r="104" spans="1:18" x14ac:dyDescent="0.25">
      <c r="A104" s="115">
        <f t="shared" si="1"/>
        <v>33</v>
      </c>
      <c r="B104" s="121"/>
      <c r="C104" s="115">
        <v>31553</v>
      </c>
      <c r="D104" s="110" t="s">
        <v>48</v>
      </c>
      <c r="F104" s="125">
        <f>VLOOKUP($C104,'ASDR FY1'!$A:$X,F$15,FALSE)*100</f>
        <v>3.2</v>
      </c>
      <c r="G104" s="112"/>
      <c r="H104" s="7">
        <f>VLOOKUP($C104,'ASDR FY1'!$A:$X,H$15,FALSE)/1000</f>
        <v>0</v>
      </c>
      <c r="I104" s="8"/>
      <c r="J104" s="7">
        <f>VLOOKUP($C104,'ASDR FY1'!$A:$X,J$15,FALSE)/1000</f>
        <v>0</v>
      </c>
      <c r="K104" s="9"/>
      <c r="L104" s="7">
        <f>VLOOKUP($C104,'ASDR FY1'!$A:$X,L$15,FALSE)/1000</f>
        <v>0</v>
      </c>
      <c r="M104" s="9"/>
      <c r="N104" s="7">
        <f>VLOOKUP($C104,'ASDR FY1'!$A:$X,N$14,FALSE)/1000+VLOOKUP($C104,'ASDR FY1'!$A:$X,N$15,FALSE)/1000</f>
        <v>0</v>
      </c>
      <c r="O104" s="8"/>
      <c r="P104" s="7">
        <f>SUM(H104,J104,L104,N104)</f>
        <v>0</v>
      </c>
      <c r="Q104" s="9"/>
      <c r="R104" s="7">
        <f>VLOOKUP($C104,'ASDR FY1'!$A:$X,R$15,FALSE)/1000</f>
        <v>0</v>
      </c>
    </row>
    <row r="105" spans="1:18" x14ac:dyDescent="0.25">
      <c r="A105" s="115">
        <f t="shared" si="1"/>
        <v>34</v>
      </c>
      <c r="B105" s="121"/>
      <c r="C105" s="115">
        <v>31653</v>
      </c>
      <c r="D105" s="110" t="s">
        <v>49</v>
      </c>
      <c r="F105" s="125">
        <f>VLOOKUP($C105,'ASDR FY1'!$A:$X,F$15,FALSE)*100</f>
        <v>2.9000000000000004</v>
      </c>
      <c r="G105" s="112"/>
      <c r="H105" s="7">
        <f>VLOOKUP($C105,'ASDR FY1'!$A:$X,H$15,FALSE)/1000</f>
        <v>0</v>
      </c>
      <c r="I105" s="8"/>
      <c r="J105" s="7">
        <f>VLOOKUP($C105,'ASDR FY1'!$A:$X,J$15,FALSE)/1000</f>
        <v>0</v>
      </c>
      <c r="K105" s="9"/>
      <c r="L105" s="7">
        <f>VLOOKUP($C105,'ASDR FY1'!$A:$X,L$15,FALSE)/1000</f>
        <v>0</v>
      </c>
      <c r="M105" s="9"/>
      <c r="N105" s="7">
        <f>VLOOKUP($C105,'ASDR FY1'!$A:$X,N$14,FALSE)/1000+VLOOKUP($C105,'ASDR FY1'!$A:$X,N$15,FALSE)/1000</f>
        <v>0</v>
      </c>
      <c r="O105" s="8"/>
      <c r="P105" s="7">
        <f>SUM(H105,J105,L105,N105)</f>
        <v>0</v>
      </c>
      <c r="Q105" s="9"/>
      <c r="R105" s="7">
        <f>VLOOKUP($C105,'ASDR FY1'!$A:$X,R$15,FALSE)/1000</f>
        <v>0</v>
      </c>
    </row>
    <row r="106" spans="1:18" x14ac:dyDescent="0.25">
      <c r="A106" s="115">
        <f t="shared" si="1"/>
        <v>35</v>
      </c>
      <c r="B106" s="121"/>
      <c r="C106" s="115"/>
      <c r="D106" s="135" t="s">
        <v>72</v>
      </c>
      <c r="E106" s="128"/>
      <c r="F106" s="125"/>
      <c r="H106" s="11">
        <f>SUM(H102:H105)</f>
        <v>0</v>
      </c>
      <c r="I106" s="14"/>
      <c r="J106" s="11">
        <f>SUM(J102:J105)</f>
        <v>0</v>
      </c>
      <c r="K106" s="14"/>
      <c r="L106" s="11">
        <f>SUM(L102:L105)</f>
        <v>0</v>
      </c>
      <c r="M106" s="14"/>
      <c r="N106" s="11">
        <f>SUM(N102:N105)</f>
        <v>0</v>
      </c>
      <c r="O106" s="14"/>
      <c r="P106" s="11">
        <f>SUM(P102:P105)</f>
        <v>0</v>
      </c>
      <c r="Q106" s="14"/>
      <c r="R106" s="11">
        <f>SUM(R102:R105)</f>
        <v>0</v>
      </c>
    </row>
    <row r="107" spans="1:18" x14ac:dyDescent="0.25">
      <c r="A107" s="115">
        <f t="shared" si="1"/>
        <v>36</v>
      </c>
      <c r="B107" s="121"/>
      <c r="F107" s="126"/>
      <c r="O107" s="112"/>
    </row>
    <row r="108" spans="1:18" x14ac:dyDescent="0.25">
      <c r="A108" s="115">
        <f t="shared" si="1"/>
        <v>37</v>
      </c>
      <c r="B108" s="121"/>
      <c r="C108" s="114"/>
      <c r="D108" s="135" t="s">
        <v>73</v>
      </c>
      <c r="E108" s="128"/>
      <c r="F108" s="125"/>
      <c r="G108" s="128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</row>
    <row r="109" spans="1:18" x14ac:dyDescent="0.25">
      <c r="A109" s="115">
        <f t="shared" si="1"/>
        <v>38</v>
      </c>
      <c r="B109" s="121"/>
      <c r="C109" s="115">
        <v>31154</v>
      </c>
      <c r="D109" s="110" t="s">
        <v>45</v>
      </c>
      <c r="F109" s="125">
        <f>VLOOKUP($C109,'ASDR FY1'!$A:$X,F$15,FALSE)*100</f>
        <v>2.8000000000000003</v>
      </c>
      <c r="G109" s="112"/>
      <c r="H109" s="7">
        <f>VLOOKUP($C109,'ASDR FY1'!$A:$X,H$15,FALSE)/1000</f>
        <v>16995.428250000001</v>
      </c>
      <c r="I109" s="8"/>
      <c r="J109" s="7">
        <f>VLOOKUP($C109,'ASDR FY1'!$A:$X,J$15,FALSE)/1000</f>
        <v>0</v>
      </c>
      <c r="K109" s="9"/>
      <c r="L109" s="7">
        <f>VLOOKUP($C109,'ASDR FY1'!$A:$X,L$15,FALSE)/1000</f>
        <v>0</v>
      </c>
      <c r="M109" s="9"/>
      <c r="N109" s="7">
        <f>VLOOKUP($C109,'ASDR FY1'!$A:$X,N$14,FALSE)/1000+VLOOKUP($C109,'ASDR FY1'!$A:$X,N$15,FALSE)/1000</f>
        <v>0</v>
      </c>
      <c r="O109" s="8"/>
      <c r="P109" s="7">
        <f>SUM(H109,J109,L109,N109)</f>
        <v>16995.428250000001</v>
      </c>
      <c r="Q109" s="9"/>
      <c r="R109" s="7">
        <f>VLOOKUP($C109,'ASDR FY1'!$A:$X,R$15,FALSE)/1000</f>
        <v>16995.428250000001</v>
      </c>
    </row>
    <row r="110" spans="1:18" x14ac:dyDescent="0.25">
      <c r="A110" s="115">
        <f t="shared" si="1"/>
        <v>39</v>
      </c>
      <c r="B110" s="121"/>
      <c r="C110" s="115">
        <v>31254</v>
      </c>
      <c r="D110" s="110" t="s">
        <v>46</v>
      </c>
      <c r="F110" s="125">
        <f>VLOOKUP($C110,'ASDR FY1'!$A:$X,F$15,FALSE)*100</f>
        <v>3.5999999999999996</v>
      </c>
      <c r="G110" s="112"/>
      <c r="H110" s="7">
        <f>VLOOKUP($C110,'ASDR FY1'!$A:$X,H$15,FALSE)/1000</f>
        <v>40246.094979999994</v>
      </c>
      <c r="I110" s="8"/>
      <c r="J110" s="7">
        <f>VLOOKUP($C110,'ASDR FY1'!$A:$X,J$15,FALSE)/1000</f>
        <v>26.884509999999999</v>
      </c>
      <c r="K110" s="9"/>
      <c r="L110" s="7">
        <f>VLOOKUP($C110,'ASDR FY1'!$A:$X,L$15,FALSE)/1000</f>
        <v>-5.3769</v>
      </c>
      <c r="M110" s="9"/>
      <c r="N110" s="7">
        <f>VLOOKUP($C110,'ASDR FY1'!$A:$X,N$14,FALSE)/1000+VLOOKUP($C110,'ASDR FY1'!$A:$X,N$15,FALSE)/1000</f>
        <v>0</v>
      </c>
      <c r="O110" s="8"/>
      <c r="P110" s="7">
        <f>SUM(H110,J110,L110,N110)</f>
        <v>40267.602589999995</v>
      </c>
      <c r="Q110" s="9"/>
      <c r="R110" s="7">
        <f>VLOOKUP($C110,'ASDR FY1'!$A:$X,R$15,FALSE)/1000</f>
        <v>40259.330430000002</v>
      </c>
    </row>
    <row r="111" spans="1:18" x14ac:dyDescent="0.25">
      <c r="A111" s="115">
        <f t="shared" si="1"/>
        <v>40</v>
      </c>
      <c r="B111" s="121"/>
      <c r="C111" s="115">
        <v>31554</v>
      </c>
      <c r="D111" s="110" t="s">
        <v>48</v>
      </c>
      <c r="F111" s="125">
        <f>VLOOKUP($C111,'ASDR FY1'!$A:$X,F$15,FALSE)*100</f>
        <v>2.8000000000000003</v>
      </c>
      <c r="G111" s="112"/>
      <c r="H111" s="7">
        <f>VLOOKUP($C111,'ASDR FY1'!$A:$X,H$15,FALSE)/1000</f>
        <v>15474.057879999998</v>
      </c>
      <c r="I111" s="8"/>
      <c r="J111" s="7">
        <f>VLOOKUP($C111,'ASDR FY1'!$A:$X,J$15,FALSE)/1000</f>
        <v>26.884509999999999</v>
      </c>
      <c r="K111" s="9"/>
      <c r="L111" s="7">
        <f>VLOOKUP($C111,'ASDR FY1'!$A:$X,L$15,FALSE)/1000</f>
        <v>-5.3769</v>
      </c>
      <c r="M111" s="9"/>
      <c r="N111" s="7">
        <f>VLOOKUP($C111,'ASDR FY1'!$A:$X,N$14,FALSE)/1000+VLOOKUP($C111,'ASDR FY1'!$A:$X,N$15,FALSE)/1000</f>
        <v>0</v>
      </c>
      <c r="O111" s="8"/>
      <c r="P111" s="7">
        <f>SUM(H111,J111,L111,N111)</f>
        <v>15495.565489999999</v>
      </c>
      <c r="Q111" s="9"/>
      <c r="R111" s="7">
        <f>VLOOKUP($C111,'ASDR FY1'!$A:$X,R$15,FALSE)/1000</f>
        <v>15487.29333</v>
      </c>
    </row>
    <row r="112" spans="1:18" x14ac:dyDescent="0.25">
      <c r="A112" s="115">
        <f t="shared" si="1"/>
        <v>41</v>
      </c>
      <c r="B112" s="121"/>
      <c r="C112" s="115">
        <v>31654</v>
      </c>
      <c r="D112" s="110" t="s">
        <v>49</v>
      </c>
      <c r="F112" s="125">
        <f>VLOOKUP($C112,'ASDR FY1'!$A:$X,F$15,FALSE)*100</f>
        <v>2.4</v>
      </c>
      <c r="G112" s="112"/>
      <c r="H112" s="7">
        <f>VLOOKUP($C112,'ASDR FY1'!$A:$X,H$15,FALSE)/1000</f>
        <v>687.93435999999997</v>
      </c>
      <c r="I112" s="8"/>
      <c r="J112" s="7">
        <f>VLOOKUP($C112,'ASDR FY1'!$A:$X,J$15,FALSE)/1000</f>
        <v>0</v>
      </c>
      <c r="K112" s="9"/>
      <c r="L112" s="7">
        <f>VLOOKUP($C112,'ASDR FY1'!$A:$X,L$15,FALSE)/1000</f>
        <v>0</v>
      </c>
      <c r="M112" s="9"/>
      <c r="N112" s="7">
        <f>VLOOKUP($C112,'ASDR FY1'!$A:$X,N$14,FALSE)/1000+VLOOKUP($C112,'ASDR FY1'!$A:$X,N$15,FALSE)/1000</f>
        <v>0</v>
      </c>
      <c r="O112" s="8"/>
      <c r="P112" s="7">
        <f>SUM(H112,J112,L112,N112)</f>
        <v>687.93435999999997</v>
      </c>
      <c r="Q112" s="9"/>
      <c r="R112" s="7">
        <f>VLOOKUP($C112,'ASDR FY1'!$A:$X,R$15,FALSE)/1000</f>
        <v>687.93435999999997</v>
      </c>
    </row>
    <row r="113" spans="1:18" x14ac:dyDescent="0.25">
      <c r="A113" s="115">
        <f t="shared" si="1"/>
        <v>42</v>
      </c>
      <c r="B113" s="121"/>
      <c r="C113" s="115"/>
      <c r="D113" s="135" t="s">
        <v>74</v>
      </c>
      <c r="E113" s="128"/>
      <c r="F113" s="130"/>
      <c r="H113" s="11">
        <f>SUM(H109:H112)</f>
        <v>73403.515469999984</v>
      </c>
      <c r="I113" s="14"/>
      <c r="J113" s="11">
        <f>SUM(J109:J112)</f>
        <v>53.769019999999998</v>
      </c>
      <c r="K113" s="14"/>
      <c r="L113" s="11">
        <f>SUM(L109:L112)</f>
        <v>-10.7538</v>
      </c>
      <c r="M113" s="14"/>
      <c r="N113" s="11">
        <f>SUM(N109:N112)</f>
        <v>0</v>
      </c>
      <c r="O113" s="14"/>
      <c r="P113" s="11">
        <f>SUM(P109:P112)</f>
        <v>73446.530689999985</v>
      </c>
      <c r="Q113" s="14"/>
      <c r="R113" s="11">
        <f>SUM(R109:R112)</f>
        <v>73429.986369999999</v>
      </c>
    </row>
    <row r="114" spans="1:18" x14ac:dyDescent="0.25">
      <c r="A114" s="115">
        <f t="shared" si="1"/>
        <v>43</v>
      </c>
      <c r="B114" s="121"/>
      <c r="C114" s="115"/>
      <c r="F114" s="112"/>
      <c r="G114" s="112"/>
      <c r="H114" s="4"/>
      <c r="I114" s="14"/>
      <c r="J114" s="4"/>
      <c r="K114" s="14"/>
      <c r="L114" s="4"/>
      <c r="M114" s="14"/>
      <c r="N114" s="4"/>
      <c r="O114" s="14"/>
      <c r="P114" s="4"/>
      <c r="Q114" s="14"/>
      <c r="R114" s="4"/>
    </row>
    <row r="115" spans="1:18" ht="13.8" thickBot="1" x14ac:dyDescent="0.3">
      <c r="A115" s="116">
        <f t="shared" si="1"/>
        <v>44</v>
      </c>
      <c r="B115" s="19" t="s">
        <v>59</v>
      </c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31"/>
      <c r="P115" s="109"/>
      <c r="Q115" s="109"/>
      <c r="R115" s="109"/>
    </row>
    <row r="116" spans="1:18" x14ac:dyDescent="0.25">
      <c r="A116" s="110" t="str">
        <f>$A$58</f>
        <v>Supporting Schedules:  B-08, B-11</v>
      </c>
      <c r="O116" s="112"/>
      <c r="P116" s="110" t="str">
        <f>$P$58</f>
        <v>Recap Schedules:  B-03, B-06</v>
      </c>
    </row>
    <row r="117" spans="1:18" ht="13.8" thickBot="1" x14ac:dyDescent="0.3">
      <c r="A117" s="109" t="str">
        <f>$A$1</f>
        <v>SCHEDULE B-07</v>
      </c>
      <c r="B117" s="109"/>
      <c r="C117" s="109"/>
      <c r="D117" s="109"/>
      <c r="E117" s="109"/>
      <c r="F117" s="109"/>
      <c r="G117" s="109" t="str">
        <f>$G$1</f>
        <v>PLANT BALANCES BY ACCOUNT AND SUB-ACCOUNT</v>
      </c>
      <c r="H117" s="109"/>
      <c r="I117" s="109"/>
      <c r="J117" s="109"/>
      <c r="K117" s="109"/>
      <c r="L117" s="109"/>
      <c r="M117" s="109"/>
      <c r="N117" s="109"/>
      <c r="O117" s="131"/>
      <c r="P117" s="109"/>
      <c r="Q117" s="109"/>
      <c r="R117" s="109" t="str">
        <f>"Page 13 of " &amp; $P$1</f>
        <v>Page 13 of 30</v>
      </c>
    </row>
    <row r="118" spans="1:18" x14ac:dyDescent="0.25">
      <c r="A118" s="110" t="str">
        <f>$A$2</f>
        <v>FLORIDA PUBLIC SERVICE COMMISSION</v>
      </c>
      <c r="B118" s="132"/>
      <c r="E118" s="112" t="str">
        <f>$E$2</f>
        <v xml:space="preserve">                  EXPLANATION:</v>
      </c>
      <c r="F118" s="110" t="str">
        <f>IF($F$2="","",$F$2)</f>
        <v>Provide the depreciation rate and plant balances for each account or sub-account to which</v>
      </c>
      <c r="J118" s="133"/>
      <c r="K118" s="133"/>
      <c r="M118" s="133"/>
      <c r="N118" s="133"/>
      <c r="O118" s="134"/>
      <c r="P118" s="110" t="str">
        <f>$P$2</f>
        <v>Type of data shown:</v>
      </c>
      <c r="R118" s="111"/>
    </row>
    <row r="119" spans="1:18" x14ac:dyDescent="0.25">
      <c r="B119" s="132"/>
      <c r="F119" s="110" t="str">
        <f>IF($F$3="","",$F$3)</f>
        <v>a separate depreciation rate is prescribed. (Include Amortization/Recovery schedule amounts).</v>
      </c>
      <c r="J119" s="112"/>
      <c r="K119" s="111"/>
      <c r="N119" s="112"/>
      <c r="O119" s="112" t="str">
        <f>IF($O$3=0,"",$O$3)</f>
        <v/>
      </c>
      <c r="P119" s="111" t="str">
        <f>$P$3</f>
        <v>Projected Test Year Ended 12/31/2025</v>
      </c>
      <c r="R119" s="112"/>
    </row>
    <row r="120" spans="1:18" x14ac:dyDescent="0.25">
      <c r="A120" s="110" t="str">
        <f>$A$4</f>
        <v>COMPANY: TAMPA ELECTRIC COMPANY</v>
      </c>
      <c r="B120" s="132"/>
      <c r="F120" s="110" t="str">
        <f>IF(+$F$4="","",$F$4)</f>
        <v/>
      </c>
      <c r="J120" s="112"/>
      <c r="K120" s="111"/>
      <c r="L120" s="112"/>
      <c r="O120" s="112" t="str">
        <f>IF($O$4=0,"",$O$4)</f>
        <v>XX</v>
      </c>
      <c r="P120" s="111" t="str">
        <f>$P$4</f>
        <v>Projected Prior Year Ended 12/31/2024</v>
      </c>
      <c r="R120" s="112"/>
    </row>
    <row r="121" spans="1:18" x14ac:dyDescent="0.25">
      <c r="B121" s="132"/>
      <c r="F121" s="110" t="str">
        <f>IF(+$F$5="","",$F$5)</f>
        <v/>
      </c>
      <c r="J121" s="112"/>
      <c r="K121" s="111"/>
      <c r="L121" s="112"/>
      <c r="O121" s="112" t="str">
        <f>IF($O$5=0,"",$O$5)</f>
        <v/>
      </c>
      <c r="P121" s="111" t="str">
        <f>$P$5</f>
        <v>Historical Prior Year Ended 12/31/2023</v>
      </c>
      <c r="R121" s="112"/>
    </row>
    <row r="122" spans="1:18" x14ac:dyDescent="0.25">
      <c r="J122" s="112"/>
      <c r="K122" s="111"/>
      <c r="L122" s="112"/>
      <c r="O122" s="112"/>
      <c r="P122" s="160" t="s">
        <v>573</v>
      </c>
      <c r="R122" s="112"/>
    </row>
    <row r="123" spans="1:18" x14ac:dyDescent="0.25">
      <c r="J123" s="112"/>
      <c r="K123" s="111"/>
      <c r="L123" s="112"/>
      <c r="O123" s="112"/>
      <c r="P123" s="160" t="s">
        <v>574</v>
      </c>
      <c r="R123" s="112"/>
    </row>
    <row r="124" spans="1:18" ht="13.8" thickBot="1" x14ac:dyDescent="0.3">
      <c r="A124" s="157" t="s">
        <v>572</v>
      </c>
      <c r="B124" s="109"/>
      <c r="C124" s="109"/>
      <c r="D124" s="109"/>
      <c r="E124" s="109"/>
      <c r="F124" s="109"/>
      <c r="G124" s="109"/>
      <c r="H124" s="116" t="s">
        <v>12</v>
      </c>
      <c r="I124" s="109"/>
      <c r="J124" s="109"/>
      <c r="K124" s="109"/>
      <c r="L124" s="109"/>
      <c r="M124" s="109"/>
      <c r="N124" s="109"/>
      <c r="O124" s="131"/>
      <c r="P124" s="161" t="s">
        <v>575</v>
      </c>
      <c r="Q124" s="109"/>
      <c r="R124" s="109"/>
    </row>
    <row r="125" spans="1:18" x14ac:dyDescent="0.25"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4"/>
      <c r="P125" s="113"/>
      <c r="Q125" s="113"/>
      <c r="R125" s="113"/>
    </row>
    <row r="126" spans="1:18" x14ac:dyDescent="0.25">
      <c r="C126" s="113" t="s">
        <v>13</v>
      </c>
      <c r="D126" s="113" t="s">
        <v>14</v>
      </c>
      <c r="E126" s="113"/>
      <c r="F126" s="113" t="s">
        <v>15</v>
      </c>
      <c r="G126" s="113"/>
      <c r="H126" s="113" t="s">
        <v>16</v>
      </c>
      <c r="I126" s="113"/>
      <c r="J126" s="115" t="s">
        <v>17</v>
      </c>
      <c r="K126" s="115"/>
      <c r="L126" s="113" t="s">
        <v>18</v>
      </c>
      <c r="M126" s="113"/>
      <c r="N126" s="113" t="s">
        <v>19</v>
      </c>
      <c r="O126" s="114"/>
      <c r="P126" s="113" t="s">
        <v>20</v>
      </c>
      <c r="Q126" s="113"/>
      <c r="R126" s="113" t="s">
        <v>21</v>
      </c>
    </row>
    <row r="127" spans="1:18" x14ac:dyDescent="0.25">
      <c r="C127" s="115" t="s">
        <v>22</v>
      </c>
      <c r="D127" s="115" t="s">
        <v>22</v>
      </c>
      <c r="F127" s="115" t="s">
        <v>23</v>
      </c>
      <c r="G127" s="115"/>
      <c r="H127" s="113" t="s">
        <v>24</v>
      </c>
      <c r="I127" s="115"/>
      <c r="J127" s="113" t="s">
        <v>25</v>
      </c>
      <c r="K127" s="115"/>
      <c r="L127" s="115" t="s">
        <v>25</v>
      </c>
      <c r="M127" s="115"/>
      <c r="O127" s="112"/>
      <c r="P127" s="115" t="s">
        <v>24</v>
      </c>
      <c r="R127" s="115"/>
    </row>
    <row r="128" spans="1:18" x14ac:dyDescent="0.25">
      <c r="A128" s="115" t="s">
        <v>26</v>
      </c>
      <c r="B128" s="115"/>
      <c r="C128" s="115" t="s">
        <v>27</v>
      </c>
      <c r="D128" s="115" t="s">
        <v>27</v>
      </c>
      <c r="E128" s="113"/>
      <c r="F128" s="115" t="s">
        <v>28</v>
      </c>
      <c r="G128" s="115"/>
      <c r="H128" s="115" t="s">
        <v>29</v>
      </c>
      <c r="I128" s="115"/>
      <c r="J128" s="115" t="s">
        <v>24</v>
      </c>
      <c r="K128" s="113"/>
      <c r="L128" s="115" t="s">
        <v>24</v>
      </c>
      <c r="M128" s="111"/>
      <c r="N128" s="115" t="s">
        <v>30</v>
      </c>
      <c r="O128" s="114"/>
      <c r="P128" s="113" t="s">
        <v>29</v>
      </c>
      <c r="Q128" s="113"/>
      <c r="R128" s="115" t="s">
        <v>31</v>
      </c>
    </row>
    <row r="129" spans="1:18" ht="13.8" thickBot="1" x14ac:dyDescent="0.3">
      <c r="A129" s="116" t="s">
        <v>32</v>
      </c>
      <c r="B129" s="116"/>
      <c r="C129" s="116" t="s">
        <v>33</v>
      </c>
      <c r="D129" s="116" t="s">
        <v>34</v>
      </c>
      <c r="E129" s="116"/>
      <c r="F129" s="117" t="s">
        <v>35</v>
      </c>
      <c r="G129" s="117"/>
      <c r="H129" s="117" t="s">
        <v>36</v>
      </c>
      <c r="I129" s="118"/>
      <c r="J129" s="117" t="s">
        <v>37</v>
      </c>
      <c r="K129" s="118"/>
      <c r="L129" s="118" t="s">
        <v>38</v>
      </c>
      <c r="M129" s="119"/>
      <c r="N129" s="119" t="s">
        <v>39</v>
      </c>
      <c r="O129" s="120"/>
      <c r="P129" s="119" t="s">
        <v>40</v>
      </c>
      <c r="Q129" s="119"/>
      <c r="R129" s="119" t="s">
        <v>41</v>
      </c>
    </row>
    <row r="130" spans="1:18" x14ac:dyDescent="0.25">
      <c r="A130" s="115">
        <v>1</v>
      </c>
      <c r="B130" s="115"/>
      <c r="O130" s="112"/>
    </row>
    <row r="131" spans="1:18" x14ac:dyDescent="0.25">
      <c r="A131" s="115">
        <f>A130+1</f>
        <v>2</v>
      </c>
      <c r="B131" s="121"/>
      <c r="C131" s="115">
        <v>31247</v>
      </c>
      <c r="D131" s="110" t="s">
        <v>75</v>
      </c>
      <c r="F131" s="125">
        <f>VLOOKUP($C131,'ASDR FY1'!$A:$X,F$15,FALSE)*100</f>
        <v>20</v>
      </c>
      <c r="G131" s="112"/>
      <c r="H131" s="7">
        <f>VLOOKUP($C131,'ASDR FY1'!$A:$X,H$15,FALSE)/1000</f>
        <v>10156.523809999999</v>
      </c>
      <c r="I131" s="8"/>
      <c r="J131" s="7">
        <f>VLOOKUP($C131,'ASDR FY1'!$A:$X,J$15,FALSE)/1000</f>
        <v>0</v>
      </c>
      <c r="K131" s="9"/>
      <c r="L131" s="7">
        <f>VLOOKUP($C131,'ASDR FY1'!$A:$X,L$15,FALSE)/1000</f>
        <v>0</v>
      </c>
      <c r="M131" s="9"/>
      <c r="N131" s="7">
        <f>VLOOKUP($C131,'ASDR FY1'!$A:$X,N$14,FALSE)/1000+VLOOKUP($C131,'ASDR FY1'!$A:$X,N$15,FALSE)/1000</f>
        <v>0</v>
      </c>
      <c r="O131" s="8"/>
      <c r="P131" s="7">
        <f>SUM(H131,J131,L131,N131)</f>
        <v>10156.523809999999</v>
      </c>
      <c r="Q131" s="9"/>
      <c r="R131" s="7">
        <f>VLOOKUP($C131,'ASDR FY1'!$A:$X,R$15,FALSE)/1000</f>
        <v>10156.523810000001</v>
      </c>
    </row>
    <row r="132" spans="1:18" x14ac:dyDescent="0.25">
      <c r="A132" s="115">
        <f t="shared" ref="A132:A173" si="2">A131+1</f>
        <v>3</v>
      </c>
      <c r="B132" s="121"/>
      <c r="C132" s="113">
        <v>31647</v>
      </c>
      <c r="D132" s="110" t="s">
        <v>76</v>
      </c>
      <c r="F132" s="125">
        <f>VLOOKUP($C132,'ASDR FY1'!$A:$X,F$15,FALSE)*100</f>
        <v>14.299999999999999</v>
      </c>
      <c r="G132" s="112"/>
      <c r="H132" s="7">
        <f>VLOOKUP($C132,'ASDR FY1'!$A:$X,H$15,FALSE)/1000</f>
        <v>841.20783000000017</v>
      </c>
      <c r="I132" s="8"/>
      <c r="J132" s="7">
        <f>VLOOKUP($C132,'ASDR FY1'!$A:$X,J$15,FALSE)/1000</f>
        <v>0</v>
      </c>
      <c r="K132" s="9"/>
      <c r="L132" s="7">
        <f>VLOOKUP($C132,'ASDR FY1'!$A:$X,L$15,FALSE)/1000</f>
        <v>-75.713580000000007</v>
      </c>
      <c r="M132" s="9"/>
      <c r="N132" s="7">
        <f>VLOOKUP($C132,'ASDR FY1'!$A:$X,N$14,FALSE)/1000+VLOOKUP($C132,'ASDR FY1'!$A:$X,N$15,FALSE)/1000</f>
        <v>0</v>
      </c>
      <c r="O132" s="8"/>
      <c r="P132" s="7">
        <f>SUM(H132,J132,L132,N132)</f>
        <v>765.49425000000019</v>
      </c>
      <c r="Q132" s="9"/>
      <c r="R132" s="7">
        <f>VLOOKUP($C132,'ASDR FY1'!$A:$X,R$15,FALSE)/1000</f>
        <v>776.58495999999991</v>
      </c>
    </row>
    <row r="133" spans="1:18" x14ac:dyDescent="0.25">
      <c r="A133" s="115">
        <f t="shared" si="2"/>
        <v>4</v>
      </c>
      <c r="B133" s="121"/>
      <c r="C133" s="115"/>
      <c r="F133" s="125"/>
      <c r="H133" s="21"/>
      <c r="I133" s="14"/>
      <c r="J133" s="21"/>
      <c r="K133" s="14"/>
      <c r="L133" s="21"/>
      <c r="M133" s="14"/>
      <c r="N133" s="21"/>
      <c r="O133" s="14"/>
      <c r="P133" s="21"/>
      <c r="Q133" s="14"/>
      <c r="R133" s="21"/>
    </row>
    <row r="134" spans="1:18" ht="13.8" thickBot="1" x14ac:dyDescent="0.3">
      <c r="A134" s="115">
        <f t="shared" si="2"/>
        <v>5</v>
      </c>
      <c r="B134" s="121"/>
      <c r="C134" s="115"/>
      <c r="D134" s="136" t="s">
        <v>77</v>
      </c>
      <c r="F134" s="125"/>
      <c r="G134" s="112"/>
      <c r="H134" s="18">
        <f>SUM(H23,H31,H39,H47,H55,H78,H85,H92,H99,H106,H113,H131,H132)</f>
        <v>1439072.4062099992</v>
      </c>
      <c r="I134" s="14"/>
      <c r="J134" s="18">
        <f>SUM(J23,J31,J39,J47,J55,J78,J85,J92,J99,J106,J113,J131,J132)</f>
        <v>39785.325000000004</v>
      </c>
      <c r="K134" s="14"/>
      <c r="L134" s="18">
        <f>SUM(L23,L31,L39,L47,L55,L78,L85,L92,L99,L106,L113,L131,L132)</f>
        <v>-8032.77855</v>
      </c>
      <c r="M134" s="14"/>
      <c r="N134" s="18">
        <f>SUM(N23,N31,N39,N47,N55,N78,N85,N92,N99,N106,N113,N131,N132)</f>
        <v>0</v>
      </c>
      <c r="O134" s="14"/>
      <c r="P134" s="18">
        <f>SUM(P23,P31,P39,P47,P55,P78,P85,P92,P99,P106,P113,P131,P132)</f>
        <v>1470824.9526599995</v>
      </c>
      <c r="Q134" s="14"/>
      <c r="R134" s="18">
        <f>SUM(R23,R31,R39,R47,R55,R78,R85,R92,R99,R106,R113,R131,R132)</f>
        <v>1460353.4167499999</v>
      </c>
    </row>
    <row r="135" spans="1:18" ht="13.8" thickTop="1" x14ac:dyDescent="0.25">
      <c r="A135" s="115">
        <f t="shared" si="2"/>
        <v>6</v>
      </c>
      <c r="B135" s="121"/>
      <c r="C135" s="115"/>
      <c r="F135" s="137"/>
      <c r="G135" s="112"/>
      <c r="H135" s="4"/>
      <c r="I135" s="14"/>
      <c r="J135" s="4"/>
      <c r="K135" s="14"/>
      <c r="L135" s="4"/>
      <c r="M135" s="14"/>
      <c r="N135" s="4"/>
      <c r="O135" s="14"/>
      <c r="P135" s="4"/>
      <c r="Q135" s="14"/>
      <c r="R135" s="4"/>
    </row>
    <row r="136" spans="1:18" ht="13.8" thickBot="1" x14ac:dyDescent="0.3">
      <c r="A136" s="115">
        <f t="shared" si="2"/>
        <v>7</v>
      </c>
      <c r="B136" s="115"/>
      <c r="C136" s="115"/>
      <c r="D136" s="110" t="s">
        <v>78</v>
      </c>
      <c r="F136" s="137"/>
      <c r="G136" s="112"/>
      <c r="H136" s="18">
        <f>H134</f>
        <v>1439072.4062099992</v>
      </c>
      <c r="I136" s="14"/>
      <c r="J136" s="18">
        <f>J134</f>
        <v>39785.325000000004</v>
      </c>
      <c r="K136" s="14"/>
      <c r="L136" s="18">
        <f>L134</f>
        <v>-8032.77855</v>
      </c>
      <c r="M136" s="14"/>
      <c r="N136" s="18">
        <f>N134</f>
        <v>0</v>
      </c>
      <c r="O136" s="14"/>
      <c r="P136" s="18">
        <f>P134</f>
        <v>1470824.9526599995</v>
      </c>
      <c r="Q136" s="14"/>
      <c r="R136" s="18">
        <f>R134</f>
        <v>1460353.4167499999</v>
      </c>
    </row>
    <row r="137" spans="1:18" ht="13.8" thickTop="1" x14ac:dyDescent="0.25">
      <c r="A137" s="115">
        <f t="shared" si="2"/>
        <v>8</v>
      </c>
      <c r="B137" s="115"/>
      <c r="F137" s="126"/>
      <c r="O137" s="112"/>
    </row>
    <row r="138" spans="1:18" x14ac:dyDescent="0.25">
      <c r="A138" s="115">
        <f t="shared" si="2"/>
        <v>9</v>
      </c>
      <c r="B138" s="121"/>
      <c r="D138" s="110" t="s">
        <v>79</v>
      </c>
      <c r="F138" s="126"/>
      <c r="O138" s="112"/>
    </row>
    <row r="139" spans="1:18" x14ac:dyDescent="0.25">
      <c r="A139" s="115">
        <f t="shared" si="2"/>
        <v>10</v>
      </c>
      <c r="B139" s="121"/>
      <c r="D139" s="110" t="s">
        <v>43</v>
      </c>
      <c r="F139" s="126"/>
      <c r="O139" s="112"/>
    </row>
    <row r="140" spans="1:18" x14ac:dyDescent="0.25">
      <c r="A140" s="115">
        <f t="shared" si="2"/>
        <v>11</v>
      </c>
      <c r="B140" s="121"/>
      <c r="D140" s="110" t="s">
        <v>80</v>
      </c>
      <c r="E140" s="115"/>
      <c r="F140" s="125"/>
      <c r="G140" s="138"/>
      <c r="H140" s="7"/>
      <c r="I140" s="22"/>
      <c r="J140" s="7"/>
      <c r="K140" s="22"/>
      <c r="L140" s="22"/>
      <c r="M140" s="22"/>
      <c r="N140" s="22"/>
      <c r="O140" s="60"/>
      <c r="P140" s="22"/>
      <c r="Q140" s="22"/>
      <c r="R140" s="22"/>
    </row>
    <row r="141" spans="1:18" x14ac:dyDescent="0.25">
      <c r="A141" s="115">
        <f t="shared" si="2"/>
        <v>12</v>
      </c>
      <c r="B141" s="121"/>
      <c r="C141" s="113">
        <v>34144</v>
      </c>
      <c r="D141" s="110" t="s">
        <v>45</v>
      </c>
      <c r="E141" s="115"/>
      <c r="F141" s="125">
        <f>VLOOKUP($C141,'ASDR FY1'!$A:$X,F$15,FALSE)*100</f>
        <v>3.5999999999999996</v>
      </c>
      <c r="G141" s="112"/>
      <c r="H141" s="7">
        <f>VLOOKUP($C141,'ASDR FY1'!$A:$X,H$15,FALSE)/1000</f>
        <v>3335.8825499999998</v>
      </c>
      <c r="I141" s="8"/>
      <c r="J141" s="7">
        <f>VLOOKUP($C141,'ASDR FY1'!$A:$X,J$15,FALSE)/1000</f>
        <v>0</v>
      </c>
      <c r="K141" s="9"/>
      <c r="L141" s="7">
        <f>VLOOKUP($C141,'ASDR FY1'!$A:$X,L$15,FALSE)/1000</f>
        <v>0</v>
      </c>
      <c r="M141" s="9"/>
      <c r="N141" s="7">
        <f>VLOOKUP($C141,'ASDR FY1'!$A:$X,N$14,FALSE)/1000+VLOOKUP($C141,'ASDR FY1'!$A:$X,N$15,FALSE)/1000</f>
        <v>0</v>
      </c>
      <c r="O141" s="8"/>
      <c r="P141" s="7">
        <f>SUM(H141,J141,L141,N141)</f>
        <v>3335.8825499999998</v>
      </c>
      <c r="Q141" s="9"/>
      <c r="R141" s="7">
        <f>VLOOKUP($C141,'ASDR FY1'!$A:$X,R$15,FALSE)/1000</f>
        <v>3335.8825499999998</v>
      </c>
    </row>
    <row r="142" spans="1:18" x14ac:dyDescent="0.25">
      <c r="A142" s="115">
        <f t="shared" si="2"/>
        <v>13</v>
      </c>
      <c r="B142" s="121"/>
      <c r="C142" s="113">
        <v>34244</v>
      </c>
      <c r="D142" s="110" t="s">
        <v>81</v>
      </c>
      <c r="E142" s="115"/>
      <c r="F142" s="125">
        <f>VLOOKUP($C142,'ASDR FY1'!$A:$X,F$15,FALSE)*100</f>
        <v>2.6</v>
      </c>
      <c r="G142" s="112"/>
      <c r="H142" s="7">
        <f>VLOOKUP($C142,'ASDR FY1'!$A:$X,H$15,FALSE)/1000</f>
        <v>2345.1115</v>
      </c>
      <c r="I142" s="8"/>
      <c r="J142" s="7">
        <f>VLOOKUP($C142,'ASDR FY1'!$A:$X,J$15,FALSE)/1000</f>
        <v>1722.03728</v>
      </c>
      <c r="K142" s="9"/>
      <c r="L142" s="7">
        <f>VLOOKUP($C142,'ASDR FY1'!$A:$X,L$15,FALSE)/1000</f>
        <v>-344.40745000000004</v>
      </c>
      <c r="M142" s="9"/>
      <c r="N142" s="7">
        <f>VLOOKUP($C142,'ASDR FY1'!$A:$X,N$14,FALSE)/1000+VLOOKUP($C142,'ASDR FY1'!$A:$X,N$15,FALSE)/1000</f>
        <v>0</v>
      </c>
      <c r="O142" s="8"/>
      <c r="P142" s="7">
        <f>SUM(H142,J142,L142,N142)</f>
        <v>3722.7413299999998</v>
      </c>
      <c r="Q142" s="9"/>
      <c r="R142" s="7">
        <f>VLOOKUP($C142,'ASDR FY1'!$A:$X,R$15,FALSE)/1000</f>
        <v>3543.6956</v>
      </c>
    </row>
    <row r="143" spans="1:18" x14ac:dyDescent="0.25">
      <c r="A143" s="115">
        <f t="shared" si="2"/>
        <v>14</v>
      </c>
      <c r="B143" s="121"/>
      <c r="C143" s="113">
        <v>34344</v>
      </c>
      <c r="D143" s="110" t="s">
        <v>82</v>
      </c>
      <c r="E143" s="115"/>
      <c r="F143" s="125">
        <f>VLOOKUP($C143,'ASDR FY1'!$A:$X,F$15,FALSE)*100</f>
        <v>3.1</v>
      </c>
      <c r="G143" s="112"/>
      <c r="H143" s="7">
        <f>VLOOKUP($C143,'ASDR FY1'!$A:$X,H$15,FALSE)/1000</f>
        <v>20332.638970000004</v>
      </c>
      <c r="I143" s="8"/>
      <c r="J143" s="7">
        <f>VLOOKUP($C143,'ASDR FY1'!$A:$X,J$15,FALSE)/1000</f>
        <v>1722.03728</v>
      </c>
      <c r="K143" s="9"/>
      <c r="L143" s="7">
        <f>VLOOKUP($C143,'ASDR FY1'!$A:$X,L$15,FALSE)/1000</f>
        <v>-344.40745000000004</v>
      </c>
      <c r="M143" s="9"/>
      <c r="N143" s="7">
        <f>VLOOKUP($C143,'ASDR FY1'!$A:$X,N$14,FALSE)/1000+VLOOKUP($C143,'ASDR FY1'!$A:$X,N$15,FALSE)/1000</f>
        <v>0</v>
      </c>
      <c r="O143" s="8"/>
      <c r="P143" s="7">
        <f>SUM(H143,J143,L143,N143)</f>
        <v>21710.268800000005</v>
      </c>
      <c r="Q143" s="9"/>
      <c r="R143" s="7">
        <f>VLOOKUP($C143,'ASDR FY1'!$A:$X,R$15,FALSE)/1000</f>
        <v>21531.22307</v>
      </c>
    </row>
    <row r="144" spans="1:18" x14ac:dyDescent="0.25">
      <c r="A144" s="115">
        <f t="shared" si="2"/>
        <v>15</v>
      </c>
      <c r="B144" s="121"/>
      <c r="C144" s="113">
        <v>34544</v>
      </c>
      <c r="D144" s="110" t="s">
        <v>48</v>
      </c>
      <c r="E144" s="115"/>
      <c r="F144" s="125">
        <f>VLOOKUP($C144,'ASDR FY1'!$A:$X,F$15,FALSE)*100</f>
        <v>2.8000000000000003</v>
      </c>
      <c r="G144" s="112"/>
      <c r="H144" s="7">
        <f>VLOOKUP($C144,'ASDR FY1'!$A:$X,H$15,FALSE)/1000</f>
        <v>16328.713470000001</v>
      </c>
      <c r="I144" s="8"/>
      <c r="J144" s="7">
        <f>VLOOKUP($C144,'ASDR FY1'!$A:$X,J$15,FALSE)/1000</f>
        <v>0</v>
      </c>
      <c r="K144" s="9"/>
      <c r="L144" s="7">
        <f>VLOOKUP($C144,'ASDR FY1'!$A:$X,L$15,FALSE)/1000</f>
        <v>0</v>
      </c>
      <c r="M144" s="9"/>
      <c r="N144" s="7">
        <f>VLOOKUP($C144,'ASDR FY1'!$A:$X,N$14,FALSE)/1000+VLOOKUP($C144,'ASDR FY1'!$A:$X,N$15,FALSE)/1000</f>
        <v>0</v>
      </c>
      <c r="O144" s="8"/>
      <c r="P144" s="7">
        <f>SUM(H144,J144,L144,N144)</f>
        <v>16328.713470000001</v>
      </c>
      <c r="Q144" s="9"/>
      <c r="R144" s="7">
        <f>VLOOKUP($C144,'ASDR FY1'!$A:$X,R$15,FALSE)/1000</f>
        <v>16328.713470000001</v>
      </c>
    </row>
    <row r="145" spans="1:18" x14ac:dyDescent="0.25">
      <c r="A145" s="115">
        <f t="shared" si="2"/>
        <v>16</v>
      </c>
      <c r="B145" s="121"/>
      <c r="C145" s="113">
        <v>34644</v>
      </c>
      <c r="D145" s="110" t="s">
        <v>49</v>
      </c>
      <c r="F145" s="125">
        <f>VLOOKUP($C145,'ASDR FY1'!$A:$X,F$15,FALSE)*100</f>
        <v>2.9000000000000004</v>
      </c>
      <c r="G145" s="112"/>
      <c r="H145" s="7">
        <f>VLOOKUP($C145,'ASDR FY1'!$A:$X,H$15,FALSE)/1000</f>
        <v>510.66471000000001</v>
      </c>
      <c r="I145" s="8"/>
      <c r="J145" s="7">
        <f>VLOOKUP($C145,'ASDR FY1'!$A:$X,J$15,FALSE)/1000</f>
        <v>0</v>
      </c>
      <c r="K145" s="9"/>
      <c r="L145" s="7">
        <f>VLOOKUP($C145,'ASDR FY1'!$A:$X,L$15,FALSE)/1000</f>
        <v>0</v>
      </c>
      <c r="M145" s="9"/>
      <c r="N145" s="7">
        <f>VLOOKUP($C145,'ASDR FY1'!$A:$X,N$14,FALSE)/1000+VLOOKUP($C145,'ASDR FY1'!$A:$X,N$15,FALSE)/1000</f>
        <v>0</v>
      </c>
      <c r="O145" s="8"/>
      <c r="P145" s="7">
        <f>SUM(H145,J145,L145,N145)</f>
        <v>510.66471000000001</v>
      </c>
      <c r="Q145" s="9"/>
      <c r="R145" s="7">
        <f>VLOOKUP($C145,'ASDR FY1'!$A:$X,R$15,FALSE)/1000</f>
        <v>510.66471000000001</v>
      </c>
    </row>
    <row r="146" spans="1:18" x14ac:dyDescent="0.25">
      <c r="A146" s="115">
        <f t="shared" si="2"/>
        <v>17</v>
      </c>
      <c r="B146" s="121"/>
      <c r="C146" s="113"/>
      <c r="D146" s="136" t="s">
        <v>83</v>
      </c>
      <c r="E146" s="115"/>
      <c r="F146" s="125"/>
      <c r="H146" s="11">
        <f>SUM(H141:H145)</f>
        <v>42853.011200000001</v>
      </c>
      <c r="I146" s="12"/>
      <c r="J146" s="11">
        <f>SUM(J141:J145)</f>
        <v>3444.07456</v>
      </c>
      <c r="K146" s="12"/>
      <c r="L146" s="11">
        <f>SUM(L141:L145)</f>
        <v>-688.81490000000008</v>
      </c>
      <c r="M146" s="12"/>
      <c r="N146" s="11">
        <f>SUM(N141:N145)</f>
        <v>0</v>
      </c>
      <c r="O146" s="12"/>
      <c r="P146" s="11">
        <f>SUM(P141:P145)</f>
        <v>45608.270860000004</v>
      </c>
      <c r="Q146" s="12"/>
      <c r="R146" s="11">
        <f>SUM(R141:R145)</f>
        <v>45250.179400000001</v>
      </c>
    </row>
    <row r="147" spans="1:18" x14ac:dyDescent="0.25">
      <c r="A147" s="115">
        <f t="shared" si="2"/>
        <v>18</v>
      </c>
      <c r="B147" s="121"/>
      <c r="F147" s="126"/>
      <c r="O147" s="112"/>
    </row>
    <row r="148" spans="1:18" x14ac:dyDescent="0.25">
      <c r="A148" s="115">
        <f t="shared" si="2"/>
        <v>19</v>
      </c>
      <c r="B148" s="121"/>
      <c r="C148" s="113"/>
      <c r="D148" s="110" t="s">
        <v>84</v>
      </c>
      <c r="F148" s="126"/>
      <c r="O148" s="112"/>
    </row>
    <row r="149" spans="1:18" x14ac:dyDescent="0.25">
      <c r="A149" s="115">
        <f t="shared" si="2"/>
        <v>20</v>
      </c>
      <c r="B149" s="121"/>
      <c r="C149" s="113">
        <v>34145</v>
      </c>
      <c r="D149" s="110" t="s">
        <v>45</v>
      </c>
      <c r="F149" s="125">
        <f>VLOOKUP($C149,'ASDR FY1'!$A:$X,F$15,FALSE)*100</f>
        <v>2.9000000000000004</v>
      </c>
      <c r="G149" s="112"/>
      <c r="H149" s="7">
        <f>VLOOKUP($C149,'ASDR FY1'!$A:$X,H$15,FALSE)/1000</f>
        <v>0</v>
      </c>
      <c r="I149" s="8"/>
      <c r="J149" s="7">
        <f>VLOOKUP($C149,'ASDR FY1'!$A:$X,J$15,FALSE)/1000</f>
        <v>0</v>
      </c>
      <c r="K149" s="9"/>
      <c r="L149" s="7">
        <f>VLOOKUP($C149,'ASDR FY1'!$A:$X,L$15,FALSE)/1000</f>
        <v>0</v>
      </c>
      <c r="M149" s="9"/>
      <c r="N149" s="7">
        <f>VLOOKUP($C149,'ASDR FY1'!$A:$X,N$14,FALSE)/1000+VLOOKUP($C149,'ASDR FY1'!$A:$X,N$15,FALSE)/1000</f>
        <v>0</v>
      </c>
      <c r="O149" s="8"/>
      <c r="P149" s="7">
        <f>SUM(H149,J149,L149,N149)</f>
        <v>0</v>
      </c>
      <c r="Q149" s="9"/>
      <c r="R149" s="7">
        <f>VLOOKUP($C149,'ASDR FY1'!$A:$X,R$15,FALSE)/1000</f>
        <v>0</v>
      </c>
    </row>
    <row r="150" spans="1:18" x14ac:dyDescent="0.25">
      <c r="A150" s="115">
        <f t="shared" si="2"/>
        <v>21</v>
      </c>
      <c r="B150" s="121"/>
      <c r="C150" s="113">
        <v>34245</v>
      </c>
      <c r="D150" s="110" t="s">
        <v>81</v>
      </c>
      <c r="F150" s="125">
        <f>VLOOKUP($C150,'ASDR FY1'!$A:$X,F$15,FALSE)*100</f>
        <v>2.9000000000000004</v>
      </c>
      <c r="G150" s="112"/>
      <c r="H150" s="7">
        <f>VLOOKUP($C150,'ASDR FY1'!$A:$X,H$15,FALSE)/1000</f>
        <v>0</v>
      </c>
      <c r="I150" s="8"/>
      <c r="J150" s="7">
        <f>VLOOKUP($C150,'ASDR FY1'!$A:$X,J$15,FALSE)/1000</f>
        <v>307.02813000000003</v>
      </c>
      <c r="K150" s="9"/>
      <c r="L150" s="7">
        <f>VLOOKUP($C150,'ASDR FY1'!$A:$X,L$15,FALSE)/1000</f>
        <v>0</v>
      </c>
      <c r="M150" s="9"/>
      <c r="N150" s="7">
        <f>VLOOKUP($C150,'ASDR FY1'!$A:$X,N$14,FALSE)/1000+VLOOKUP($C150,'ASDR FY1'!$A:$X,N$15,FALSE)/1000</f>
        <v>0</v>
      </c>
      <c r="O150" s="8"/>
      <c r="P150" s="7">
        <f>SUM(H150,J150,L150,N150)</f>
        <v>307.02813000000003</v>
      </c>
      <c r="Q150" s="9"/>
      <c r="R150" s="7">
        <f>VLOOKUP($C150,'ASDR FY1'!$A:$X,R$15,FALSE)/1000</f>
        <v>170.42267999999999</v>
      </c>
    </row>
    <row r="151" spans="1:18" x14ac:dyDescent="0.25">
      <c r="A151" s="115">
        <f t="shared" si="2"/>
        <v>22</v>
      </c>
      <c r="B151" s="121"/>
      <c r="C151" s="113">
        <v>34345</v>
      </c>
      <c r="D151" s="110" t="s">
        <v>82</v>
      </c>
      <c r="F151" s="125">
        <f>VLOOKUP($C151,'ASDR FY1'!$A:$X,F$15,FALSE)*100</f>
        <v>2.9000000000000004</v>
      </c>
      <c r="G151" s="112"/>
      <c r="H151" s="7">
        <f>VLOOKUP($C151,'ASDR FY1'!$A:$X,H$15,FALSE)/1000</f>
        <v>176518.35511999996</v>
      </c>
      <c r="I151" s="8"/>
      <c r="J151" s="7">
        <f>VLOOKUP($C151,'ASDR FY1'!$A:$X,J$15,FALSE)/1000</f>
        <v>307.02813000000003</v>
      </c>
      <c r="K151" s="9"/>
      <c r="L151" s="7">
        <f>VLOOKUP($C151,'ASDR FY1'!$A:$X,L$15,FALSE)/1000</f>
        <v>0</v>
      </c>
      <c r="M151" s="9"/>
      <c r="N151" s="7">
        <f>VLOOKUP($C151,'ASDR FY1'!$A:$X,N$14,FALSE)/1000+VLOOKUP($C151,'ASDR FY1'!$A:$X,N$15,FALSE)/1000</f>
        <v>0</v>
      </c>
      <c r="O151" s="8"/>
      <c r="P151" s="7">
        <f>SUM(H151,J151,L151,N151)</f>
        <v>176825.38324999996</v>
      </c>
      <c r="Q151" s="9"/>
      <c r="R151" s="7">
        <f>VLOOKUP($C151,'ASDR FY1'!$A:$X,R$15,FALSE)/1000</f>
        <v>176688.77780000001</v>
      </c>
    </row>
    <row r="152" spans="1:18" x14ac:dyDescent="0.25">
      <c r="A152" s="115">
        <f t="shared" si="2"/>
        <v>23</v>
      </c>
      <c r="B152" s="121"/>
      <c r="C152" s="113">
        <v>34545</v>
      </c>
      <c r="D152" s="110" t="s">
        <v>48</v>
      </c>
      <c r="F152" s="125">
        <f>VLOOKUP($C152,'ASDR FY1'!$A:$X,F$15,FALSE)*100</f>
        <v>2.9000000000000004</v>
      </c>
      <c r="G152" s="112"/>
      <c r="H152" s="7">
        <f>VLOOKUP($C152,'ASDR FY1'!$A:$X,H$15,FALSE)/1000</f>
        <v>58.769359999999999</v>
      </c>
      <c r="I152" s="8"/>
      <c r="J152" s="7">
        <f>VLOOKUP($C152,'ASDR FY1'!$A:$X,J$15,FALSE)/1000</f>
        <v>0</v>
      </c>
      <c r="K152" s="9"/>
      <c r="L152" s="7">
        <f>VLOOKUP($C152,'ASDR FY1'!$A:$X,L$15,FALSE)/1000</f>
        <v>0</v>
      </c>
      <c r="M152" s="9"/>
      <c r="N152" s="7">
        <f>VLOOKUP($C152,'ASDR FY1'!$A:$X,N$14,FALSE)/1000+VLOOKUP($C152,'ASDR FY1'!$A:$X,N$15,FALSE)/1000</f>
        <v>0</v>
      </c>
      <c r="O152" s="8"/>
      <c r="P152" s="7">
        <f>SUM(H152,J152,L152,N152)</f>
        <v>58.769359999999999</v>
      </c>
      <c r="Q152" s="9"/>
      <c r="R152" s="7">
        <f>VLOOKUP($C152,'ASDR FY1'!$A:$X,R$15,FALSE)/1000</f>
        <v>58.769359999999999</v>
      </c>
    </row>
    <row r="153" spans="1:18" x14ac:dyDescent="0.25">
      <c r="A153" s="115">
        <f t="shared" si="2"/>
        <v>24</v>
      </c>
      <c r="B153" s="121"/>
      <c r="C153" s="113">
        <v>34645</v>
      </c>
      <c r="D153" s="110" t="s">
        <v>49</v>
      </c>
      <c r="F153" s="125">
        <f>VLOOKUP($C153,'ASDR FY1'!$A:$X,F$15,FALSE)*100</f>
        <v>2.9000000000000004</v>
      </c>
      <c r="G153" s="112"/>
      <c r="H153" s="7">
        <f>VLOOKUP($C153,'ASDR FY1'!$A:$X,H$15,FALSE)/1000</f>
        <v>0</v>
      </c>
      <c r="I153" s="8"/>
      <c r="J153" s="7">
        <f>VLOOKUP($C153,'ASDR FY1'!$A:$X,J$15,FALSE)/1000</f>
        <v>0</v>
      </c>
      <c r="K153" s="9"/>
      <c r="L153" s="7">
        <f>VLOOKUP($C153,'ASDR FY1'!$A:$X,L$15,FALSE)/1000</f>
        <v>0</v>
      </c>
      <c r="M153" s="9"/>
      <c r="N153" s="7">
        <f>VLOOKUP($C153,'ASDR FY1'!$A:$X,N$14,FALSE)/1000+VLOOKUP($C153,'ASDR FY1'!$A:$X,N$15,FALSE)/1000</f>
        <v>0</v>
      </c>
      <c r="O153" s="8"/>
      <c r="P153" s="7">
        <f>SUM(H153,J153,L153,N153)</f>
        <v>0</v>
      </c>
      <c r="Q153" s="9"/>
      <c r="R153" s="7">
        <f>VLOOKUP($C153,'ASDR FY1'!$A:$X,R$15,FALSE)/1000</f>
        <v>0</v>
      </c>
    </row>
    <row r="154" spans="1:18" x14ac:dyDescent="0.25">
      <c r="A154" s="115">
        <f t="shared" si="2"/>
        <v>25</v>
      </c>
      <c r="B154" s="121"/>
      <c r="C154" s="113"/>
      <c r="D154" s="136" t="s">
        <v>85</v>
      </c>
      <c r="F154" s="126"/>
      <c r="H154" s="11">
        <f>SUM(H149:H153)</f>
        <v>176577.12447999997</v>
      </c>
      <c r="I154" s="12"/>
      <c r="J154" s="11">
        <f>SUM(J149:J153)</f>
        <v>614.05626000000007</v>
      </c>
      <c r="K154" s="12"/>
      <c r="L154" s="11">
        <f>SUM(L149:L153)</f>
        <v>0</v>
      </c>
      <c r="M154" s="12"/>
      <c r="N154" s="11">
        <f>SUM(N149:N153)</f>
        <v>0</v>
      </c>
      <c r="O154" s="12"/>
      <c r="P154" s="11">
        <f>SUM(P149:P153)</f>
        <v>177191.18073999995</v>
      </c>
      <c r="Q154" s="12"/>
      <c r="R154" s="11">
        <f>SUM(R149:R153)</f>
        <v>176917.96984000001</v>
      </c>
    </row>
    <row r="155" spans="1:18" x14ac:dyDescent="0.25">
      <c r="A155" s="115">
        <f t="shared" si="2"/>
        <v>26</v>
      </c>
      <c r="B155" s="121"/>
      <c r="C155" s="115"/>
      <c r="D155" s="115"/>
      <c r="E155" s="115"/>
      <c r="F155" s="125"/>
      <c r="G155" s="138"/>
      <c r="H155" s="7"/>
      <c r="I155" s="12"/>
      <c r="J155" s="7"/>
      <c r="K155" s="12"/>
      <c r="L155" s="7"/>
      <c r="M155" s="12"/>
      <c r="N155" s="7"/>
      <c r="O155" s="12"/>
      <c r="P155" s="7"/>
      <c r="Q155" s="12"/>
      <c r="R155" s="7"/>
    </row>
    <row r="156" spans="1:18" x14ac:dyDescent="0.25">
      <c r="A156" s="115">
        <f t="shared" si="2"/>
        <v>27</v>
      </c>
      <c r="B156" s="121"/>
      <c r="C156" s="113"/>
      <c r="D156" s="110" t="s">
        <v>86</v>
      </c>
      <c r="F156" s="126"/>
      <c r="O156" s="112"/>
    </row>
    <row r="157" spans="1:18" x14ac:dyDescent="0.25">
      <c r="A157" s="115">
        <f t="shared" si="2"/>
        <v>28</v>
      </c>
      <c r="B157" s="121"/>
      <c r="C157" s="113">
        <v>34146</v>
      </c>
      <c r="D157" s="110" t="s">
        <v>45</v>
      </c>
      <c r="F157" s="125">
        <f>VLOOKUP($C157,'ASDR FY1'!$A:$X,F$15,FALSE)*100</f>
        <v>2.9000000000000004</v>
      </c>
      <c r="G157" s="112"/>
      <c r="H157" s="7">
        <f>VLOOKUP($C157,'ASDR FY1'!$A:$X,H$15,FALSE)/1000</f>
        <v>0</v>
      </c>
      <c r="I157" s="8"/>
      <c r="J157" s="7">
        <f>VLOOKUP($C157,'ASDR FY1'!$A:$X,J$15,FALSE)/1000</f>
        <v>0</v>
      </c>
      <c r="K157" s="9"/>
      <c r="L157" s="7">
        <f>VLOOKUP($C157,'ASDR FY1'!$A:$X,L$15,FALSE)/1000</f>
        <v>0</v>
      </c>
      <c r="M157" s="9"/>
      <c r="N157" s="7">
        <f>VLOOKUP($C157,'ASDR FY1'!$A:$X,N$14,FALSE)/1000+VLOOKUP($C157,'ASDR FY1'!$A:$X,N$15,FALSE)/1000</f>
        <v>0</v>
      </c>
      <c r="O157" s="8"/>
      <c r="P157" s="7">
        <f>SUM(H157,J157,L157,N157)</f>
        <v>0</v>
      </c>
      <c r="Q157" s="9"/>
      <c r="R157" s="7">
        <f>VLOOKUP($C157,'ASDR FY1'!$A:$X,R$15,FALSE)/1000</f>
        <v>0</v>
      </c>
    </row>
    <row r="158" spans="1:18" x14ac:dyDescent="0.25">
      <c r="A158" s="115">
        <f t="shared" si="2"/>
        <v>29</v>
      </c>
      <c r="B158" s="121"/>
      <c r="C158" s="113">
        <v>34246</v>
      </c>
      <c r="D158" s="110" t="s">
        <v>81</v>
      </c>
      <c r="F158" s="125">
        <f>VLOOKUP($C158,'ASDR FY1'!$A:$X,F$15,FALSE)*100</f>
        <v>2.9000000000000004</v>
      </c>
      <c r="G158" s="112"/>
      <c r="H158" s="7">
        <f>VLOOKUP($C158,'ASDR FY1'!$A:$X,H$15,FALSE)/1000</f>
        <v>0</v>
      </c>
      <c r="I158" s="8"/>
      <c r="J158" s="7">
        <f>VLOOKUP($C158,'ASDR FY1'!$A:$X,J$15,FALSE)/1000</f>
        <v>388.11342999999999</v>
      </c>
      <c r="K158" s="9"/>
      <c r="L158" s="7">
        <f>VLOOKUP($C158,'ASDR FY1'!$A:$X,L$15,FALSE)/1000</f>
        <v>0</v>
      </c>
      <c r="M158" s="9"/>
      <c r="N158" s="7">
        <f>VLOOKUP($C158,'ASDR FY1'!$A:$X,N$14,FALSE)/1000+VLOOKUP($C158,'ASDR FY1'!$A:$X,N$15,FALSE)/1000</f>
        <v>0</v>
      </c>
      <c r="O158" s="8"/>
      <c r="P158" s="7">
        <f>SUM(H158,J158,L158,N158)</f>
        <v>388.11342999999999</v>
      </c>
      <c r="Q158" s="9"/>
      <c r="R158" s="7">
        <f>VLOOKUP($C158,'ASDR FY1'!$A:$X,R$15,FALSE)/1000</f>
        <v>219.43153000000001</v>
      </c>
    </row>
    <row r="159" spans="1:18" x14ac:dyDescent="0.25">
      <c r="A159" s="115">
        <f t="shared" si="2"/>
        <v>30</v>
      </c>
      <c r="B159" s="121"/>
      <c r="C159" s="113">
        <v>34346</v>
      </c>
      <c r="D159" s="110" t="s">
        <v>82</v>
      </c>
      <c r="F159" s="125">
        <f>VLOOKUP($C159,'ASDR FY1'!$A:$X,F$15,FALSE)*100</f>
        <v>2.9000000000000004</v>
      </c>
      <c r="G159" s="112"/>
      <c r="H159" s="7">
        <f>VLOOKUP($C159,'ASDR FY1'!$A:$X,H$15,FALSE)/1000</f>
        <v>175248.31920000003</v>
      </c>
      <c r="I159" s="8"/>
      <c r="J159" s="7">
        <f>VLOOKUP($C159,'ASDR FY1'!$A:$X,J$15,FALSE)/1000</f>
        <v>388.11342999999999</v>
      </c>
      <c r="K159" s="9"/>
      <c r="L159" s="7">
        <f>VLOOKUP($C159,'ASDR FY1'!$A:$X,L$15,FALSE)/1000</f>
        <v>0</v>
      </c>
      <c r="M159" s="9"/>
      <c r="N159" s="7">
        <f>VLOOKUP($C159,'ASDR FY1'!$A:$X,N$14,FALSE)/1000+VLOOKUP($C159,'ASDR FY1'!$A:$X,N$15,FALSE)/1000</f>
        <v>0</v>
      </c>
      <c r="O159" s="8"/>
      <c r="P159" s="7">
        <f>SUM(H159,J159,L159,N159)</f>
        <v>175636.43263000002</v>
      </c>
      <c r="Q159" s="9"/>
      <c r="R159" s="7">
        <f>VLOOKUP($C159,'ASDR FY1'!$A:$X,R$15,FALSE)/1000</f>
        <v>175467.75073</v>
      </c>
    </row>
    <row r="160" spans="1:18" x14ac:dyDescent="0.25">
      <c r="A160" s="115">
        <f t="shared" si="2"/>
        <v>31</v>
      </c>
      <c r="B160" s="121"/>
      <c r="C160" s="113">
        <v>34546</v>
      </c>
      <c r="D160" s="110" t="s">
        <v>48</v>
      </c>
      <c r="F160" s="125">
        <f>VLOOKUP($C160,'ASDR FY1'!$A:$X,F$15,FALSE)*100</f>
        <v>2.9000000000000004</v>
      </c>
      <c r="G160" s="112"/>
      <c r="H160" s="7">
        <f>VLOOKUP($C160,'ASDR FY1'!$A:$X,H$15,FALSE)/1000</f>
        <v>19.190819999999999</v>
      </c>
      <c r="I160" s="8"/>
      <c r="J160" s="7">
        <f>VLOOKUP($C160,'ASDR FY1'!$A:$X,J$15,FALSE)/1000</f>
        <v>0</v>
      </c>
      <c r="K160" s="9"/>
      <c r="L160" s="7">
        <f>VLOOKUP($C160,'ASDR FY1'!$A:$X,L$15,FALSE)/1000</f>
        <v>0</v>
      </c>
      <c r="M160" s="9"/>
      <c r="N160" s="7">
        <f>VLOOKUP($C160,'ASDR FY1'!$A:$X,N$14,FALSE)/1000+VLOOKUP($C160,'ASDR FY1'!$A:$X,N$15,FALSE)/1000</f>
        <v>0</v>
      </c>
      <c r="O160" s="8"/>
      <c r="P160" s="7">
        <f>SUM(H160,J160,L160,N160)</f>
        <v>19.190819999999999</v>
      </c>
      <c r="Q160" s="9"/>
      <c r="R160" s="7">
        <f>VLOOKUP($C160,'ASDR FY1'!$A:$X,R$15,FALSE)/1000</f>
        <v>19.190819999999999</v>
      </c>
    </row>
    <row r="161" spans="1:18" x14ac:dyDescent="0.25">
      <c r="A161" s="115">
        <f t="shared" si="2"/>
        <v>32</v>
      </c>
      <c r="B161" s="121"/>
      <c r="C161" s="113">
        <v>34646</v>
      </c>
      <c r="D161" s="110" t="s">
        <v>49</v>
      </c>
      <c r="F161" s="125">
        <f>VLOOKUP($C161,'ASDR FY1'!$A:$X,F$15,FALSE)*100</f>
        <v>2.9000000000000004</v>
      </c>
      <c r="G161" s="112"/>
      <c r="H161" s="7">
        <f>VLOOKUP($C161,'ASDR FY1'!$A:$X,H$15,FALSE)/1000</f>
        <v>0</v>
      </c>
      <c r="I161" s="8"/>
      <c r="J161" s="7">
        <f>VLOOKUP($C161,'ASDR FY1'!$A:$X,J$15,FALSE)/1000</f>
        <v>0</v>
      </c>
      <c r="K161" s="9"/>
      <c r="L161" s="7">
        <f>VLOOKUP($C161,'ASDR FY1'!$A:$X,L$15,FALSE)/1000</f>
        <v>0</v>
      </c>
      <c r="M161" s="9"/>
      <c r="N161" s="7">
        <f>VLOOKUP($C161,'ASDR FY1'!$A:$X,N$14,FALSE)/1000+VLOOKUP($C161,'ASDR FY1'!$A:$X,N$15,FALSE)/1000</f>
        <v>0</v>
      </c>
      <c r="O161" s="8"/>
      <c r="P161" s="7">
        <f>SUM(H161,J161,L161,N161)</f>
        <v>0</v>
      </c>
      <c r="Q161" s="9"/>
      <c r="R161" s="7">
        <f>VLOOKUP($C161,'ASDR FY1'!$A:$X,R$15,FALSE)/1000</f>
        <v>0</v>
      </c>
    </row>
    <row r="162" spans="1:18" x14ac:dyDescent="0.25">
      <c r="A162" s="115">
        <f t="shared" si="2"/>
        <v>33</v>
      </c>
      <c r="B162" s="121"/>
      <c r="D162" s="136" t="s">
        <v>87</v>
      </c>
      <c r="F162" s="126"/>
      <c r="H162" s="11">
        <f>SUM(H157:H161)</f>
        <v>175267.51002000002</v>
      </c>
      <c r="I162" s="12"/>
      <c r="J162" s="11">
        <f>SUM(J157:J161)</f>
        <v>776.22685999999999</v>
      </c>
      <c r="K162" s="12"/>
      <c r="L162" s="11">
        <f>SUM(L157:L161)</f>
        <v>0</v>
      </c>
      <c r="M162" s="12"/>
      <c r="N162" s="11">
        <f>SUM(N157:N161)</f>
        <v>0</v>
      </c>
      <c r="O162" s="12"/>
      <c r="P162" s="11">
        <f>SUM(P157:P161)</f>
        <v>176043.73688000001</v>
      </c>
      <c r="Q162" s="12"/>
      <c r="R162" s="11">
        <f>SUM(R157:R161)</f>
        <v>175706.37307999999</v>
      </c>
    </row>
    <row r="163" spans="1:18" x14ac:dyDescent="0.25">
      <c r="A163" s="115">
        <f t="shared" si="2"/>
        <v>34</v>
      </c>
      <c r="B163" s="121"/>
      <c r="F163" s="126"/>
      <c r="O163" s="112"/>
    </row>
    <row r="164" spans="1:18" x14ac:dyDescent="0.25">
      <c r="A164" s="115">
        <f t="shared" si="2"/>
        <v>35</v>
      </c>
      <c r="B164" s="121"/>
      <c r="C164" s="113"/>
      <c r="D164" s="110" t="s">
        <v>88</v>
      </c>
      <c r="F164" s="126"/>
      <c r="O164" s="112"/>
    </row>
    <row r="165" spans="1:18" x14ac:dyDescent="0.25">
      <c r="A165" s="115">
        <f t="shared" si="2"/>
        <v>36</v>
      </c>
      <c r="B165" s="121"/>
      <c r="C165" s="113">
        <v>34143</v>
      </c>
      <c r="D165" s="110" t="s">
        <v>45</v>
      </c>
      <c r="F165" s="125">
        <f>VLOOKUP($C165,'ASDR FY1'!$A:$X,F$15,FALSE)*100</f>
        <v>2.9000000000000004</v>
      </c>
      <c r="G165" s="112"/>
      <c r="H165" s="7">
        <f>VLOOKUP($C165,'ASDR FY1'!$A:$X,H$15,FALSE)/1000</f>
        <v>2290.54898</v>
      </c>
      <c r="I165" s="8"/>
      <c r="J165" s="7">
        <f>VLOOKUP($C165,'ASDR FY1'!$A:$X,J$15,FALSE)/1000</f>
        <v>0</v>
      </c>
      <c r="K165" s="9"/>
      <c r="L165" s="7">
        <f>VLOOKUP($C165,'ASDR FY1'!$A:$X,L$15,FALSE)/1000</f>
        <v>0</v>
      </c>
      <c r="M165" s="9"/>
      <c r="N165" s="7">
        <f>VLOOKUP($C165,'ASDR FY1'!$A:$X,N$14,FALSE)/1000+VLOOKUP($C165,'ASDR FY1'!$A:$X,N$15,FALSE)/1000</f>
        <v>0</v>
      </c>
      <c r="O165" s="8"/>
      <c r="P165" s="7">
        <f>SUM(H165,J165,L165,N165)</f>
        <v>2290.54898</v>
      </c>
      <c r="Q165" s="9"/>
      <c r="R165" s="7">
        <f>VLOOKUP($C165,'ASDR FY1'!$A:$X,R$15,FALSE)/1000</f>
        <v>2290.54898</v>
      </c>
    </row>
    <row r="166" spans="1:18" x14ac:dyDescent="0.25">
      <c r="A166" s="115">
        <f t="shared" si="2"/>
        <v>37</v>
      </c>
      <c r="B166" s="121"/>
      <c r="C166" s="113">
        <v>34243</v>
      </c>
      <c r="D166" s="110" t="s">
        <v>81</v>
      </c>
      <c r="F166" s="125">
        <f>VLOOKUP($C166,'ASDR FY1'!$A:$X,F$15,FALSE)*100</f>
        <v>2.9000000000000004</v>
      </c>
      <c r="G166" s="112"/>
      <c r="H166" s="7">
        <f>VLOOKUP($C166,'ASDR FY1'!$A:$X,H$15,FALSE)/1000</f>
        <v>3099.3795399999999</v>
      </c>
      <c r="I166" s="8"/>
      <c r="J166" s="7">
        <f>VLOOKUP($C166,'ASDR FY1'!$A:$X,J$15,FALSE)/1000</f>
        <v>478.94918000000001</v>
      </c>
      <c r="K166" s="9"/>
      <c r="L166" s="7">
        <f>VLOOKUP($C166,'ASDR FY1'!$A:$X,L$15,FALSE)/1000</f>
        <v>0</v>
      </c>
      <c r="M166" s="9"/>
      <c r="N166" s="7">
        <f>VLOOKUP($C166,'ASDR FY1'!$A:$X,N$14,FALSE)/1000+VLOOKUP($C166,'ASDR FY1'!$A:$X,N$15,FALSE)/1000</f>
        <v>0</v>
      </c>
      <c r="O166" s="8"/>
      <c r="P166" s="7">
        <f>SUM(H166,J166,L166,N166)</f>
        <v>3578.32872</v>
      </c>
      <c r="Q166" s="9"/>
      <c r="R166" s="7">
        <f>VLOOKUP($C166,'ASDR FY1'!$A:$X,R$15,FALSE)/1000</f>
        <v>3368.1559600000001</v>
      </c>
    </row>
    <row r="167" spans="1:18" x14ac:dyDescent="0.25">
      <c r="A167" s="115">
        <f t="shared" si="2"/>
        <v>38</v>
      </c>
      <c r="B167" s="121"/>
      <c r="C167" s="113">
        <v>34343</v>
      </c>
      <c r="D167" s="110" t="s">
        <v>82</v>
      </c>
      <c r="F167" s="125">
        <f>VLOOKUP($C167,'ASDR FY1'!$A:$X,F$15,FALSE)*100</f>
        <v>2.9000000000000004</v>
      </c>
      <c r="G167" s="112"/>
      <c r="H167" s="7">
        <f>VLOOKUP($C167,'ASDR FY1'!$A:$X,H$15,FALSE)/1000</f>
        <v>458756.44725000008</v>
      </c>
      <c r="I167" s="8"/>
      <c r="J167" s="7">
        <f>VLOOKUP($C167,'ASDR FY1'!$A:$X,J$15,FALSE)/1000</f>
        <v>478.94918000000001</v>
      </c>
      <c r="K167" s="9"/>
      <c r="L167" s="7">
        <f>VLOOKUP($C167,'ASDR FY1'!$A:$X,L$15,FALSE)/1000</f>
        <v>0</v>
      </c>
      <c r="M167" s="9"/>
      <c r="N167" s="7">
        <f>VLOOKUP($C167,'ASDR FY1'!$A:$X,N$14,FALSE)/1000+VLOOKUP($C167,'ASDR FY1'!$A:$X,N$15,FALSE)/1000</f>
        <v>0</v>
      </c>
      <c r="O167" s="8"/>
      <c r="P167" s="7">
        <f>SUM(H167,J167,L167,N167)</f>
        <v>459235.39643000008</v>
      </c>
      <c r="Q167" s="9"/>
      <c r="R167" s="7">
        <f>VLOOKUP($C167,'ASDR FY1'!$A:$X,R$15,FALSE)/1000</f>
        <v>459025.22367000004</v>
      </c>
    </row>
    <row r="168" spans="1:18" x14ac:dyDescent="0.25">
      <c r="A168" s="115">
        <f t="shared" si="2"/>
        <v>39</v>
      </c>
      <c r="B168" s="121"/>
      <c r="C168" s="113">
        <v>34543</v>
      </c>
      <c r="D168" s="110" t="s">
        <v>48</v>
      </c>
      <c r="F168" s="125">
        <f>VLOOKUP($C168,'ASDR FY1'!$A:$X,F$15,FALSE)*100</f>
        <v>2.9000000000000004</v>
      </c>
      <c r="G168" s="112"/>
      <c r="H168" s="7">
        <f>VLOOKUP($C168,'ASDR FY1'!$A:$X,H$15,FALSE)/1000</f>
        <v>700.67701999999997</v>
      </c>
      <c r="I168" s="8"/>
      <c r="J168" s="7">
        <f>VLOOKUP($C168,'ASDR FY1'!$A:$X,J$15,FALSE)/1000</f>
        <v>0</v>
      </c>
      <c r="K168" s="9"/>
      <c r="L168" s="7">
        <f>VLOOKUP($C168,'ASDR FY1'!$A:$X,L$15,FALSE)/1000</f>
        <v>0</v>
      </c>
      <c r="M168" s="9"/>
      <c r="N168" s="7">
        <f>VLOOKUP($C168,'ASDR FY1'!$A:$X,N$14,FALSE)/1000+VLOOKUP($C168,'ASDR FY1'!$A:$X,N$15,FALSE)/1000</f>
        <v>0</v>
      </c>
      <c r="O168" s="8"/>
      <c r="P168" s="7">
        <f>SUM(H168,J168,L168,N168)</f>
        <v>700.67701999999997</v>
      </c>
      <c r="Q168" s="9"/>
      <c r="R168" s="7">
        <f>VLOOKUP($C168,'ASDR FY1'!$A:$X,R$15,FALSE)/1000</f>
        <v>700.67701999999997</v>
      </c>
    </row>
    <row r="169" spans="1:18" x14ac:dyDescent="0.25">
      <c r="A169" s="115">
        <f t="shared" si="2"/>
        <v>40</v>
      </c>
      <c r="B169" s="121"/>
      <c r="C169" s="113">
        <v>34643</v>
      </c>
      <c r="D169" s="110" t="s">
        <v>49</v>
      </c>
      <c r="F169" s="125">
        <f>VLOOKUP($C169,'ASDR FY1'!$A:$X,F$15,FALSE)*100</f>
        <v>2.9000000000000004</v>
      </c>
      <c r="G169" s="112"/>
      <c r="H169" s="7">
        <f>VLOOKUP($C169,'ASDR FY1'!$A:$X,H$15,FALSE)/1000</f>
        <v>308.52593000000002</v>
      </c>
      <c r="I169" s="8"/>
      <c r="J169" s="7">
        <f>VLOOKUP($C169,'ASDR FY1'!$A:$X,J$15,FALSE)/1000</f>
        <v>0</v>
      </c>
      <c r="K169" s="9"/>
      <c r="L169" s="7">
        <f>VLOOKUP($C169,'ASDR FY1'!$A:$X,L$15,FALSE)/1000</f>
        <v>0</v>
      </c>
      <c r="M169" s="9"/>
      <c r="N169" s="7">
        <f>VLOOKUP($C169,'ASDR FY1'!$A:$X,N$14,FALSE)/1000+VLOOKUP($C169,'ASDR FY1'!$A:$X,N$15,FALSE)/1000</f>
        <v>0</v>
      </c>
      <c r="O169" s="8"/>
      <c r="P169" s="7">
        <f>SUM(H169,J169,L169,N169)</f>
        <v>308.52593000000002</v>
      </c>
      <c r="Q169" s="9"/>
      <c r="R169" s="7">
        <f>VLOOKUP($C169,'ASDR FY1'!$A:$X,R$15,FALSE)/1000</f>
        <v>308.52593000000002</v>
      </c>
    </row>
    <row r="170" spans="1:18" x14ac:dyDescent="0.25">
      <c r="A170" s="115">
        <f t="shared" si="2"/>
        <v>41</v>
      </c>
      <c r="B170" s="121"/>
      <c r="D170" s="136" t="s">
        <v>89</v>
      </c>
      <c r="H170" s="11">
        <f>SUM(H165:H169)</f>
        <v>465155.57872000011</v>
      </c>
      <c r="I170" s="12"/>
      <c r="J170" s="11">
        <f>SUM(J165:J169)</f>
        <v>957.89836000000003</v>
      </c>
      <c r="K170" s="12"/>
      <c r="L170" s="11">
        <f>SUM(L165:L169)</f>
        <v>0</v>
      </c>
      <c r="M170" s="12"/>
      <c r="N170" s="11">
        <f>SUM(N165:N169)</f>
        <v>0</v>
      </c>
      <c r="O170" s="12"/>
      <c r="P170" s="11">
        <f>SUM(P165:P169)</f>
        <v>466113.4770800001</v>
      </c>
      <c r="Q170" s="12"/>
      <c r="R170" s="11">
        <f>SUM(R165:R169)</f>
        <v>465693.13156000007</v>
      </c>
    </row>
    <row r="171" spans="1:18" x14ac:dyDescent="0.25">
      <c r="A171" s="115">
        <f t="shared" si="2"/>
        <v>42</v>
      </c>
      <c r="B171" s="121"/>
      <c r="H171" s="139"/>
      <c r="J171" s="139"/>
      <c r="L171" s="139"/>
      <c r="N171" s="139"/>
      <c r="O171" s="112"/>
      <c r="P171" s="139"/>
      <c r="R171" s="139"/>
    </row>
    <row r="172" spans="1:18" ht="13.8" thickBot="1" x14ac:dyDescent="0.3">
      <c r="A172" s="115">
        <f t="shared" si="2"/>
        <v>43</v>
      </c>
      <c r="B172" s="121"/>
      <c r="D172" s="136" t="s">
        <v>77</v>
      </c>
      <c r="F172" s="130"/>
      <c r="G172" s="140"/>
      <c r="H172" s="18">
        <f>SUM(H146,H154,H162,H170)</f>
        <v>859853.2244200001</v>
      </c>
      <c r="I172" s="12"/>
      <c r="J172" s="18">
        <f>SUM(J146,J154,J162,J170)</f>
        <v>5792.2560400000002</v>
      </c>
      <c r="K172" s="12"/>
      <c r="L172" s="18">
        <f>SUM(L146,L154,L162,L170)</f>
        <v>-688.81490000000008</v>
      </c>
      <c r="M172" s="12"/>
      <c r="N172" s="18">
        <f>SUM(N146,N154,N162,N170)</f>
        <v>0</v>
      </c>
      <c r="O172" s="12"/>
      <c r="P172" s="18">
        <f>SUM(P146,P154,P162,P170)</f>
        <v>864956.66556000011</v>
      </c>
      <c r="Q172" s="12"/>
      <c r="R172" s="18">
        <f>SUM(R146,R154,R162,R170)</f>
        <v>863567.65388000011</v>
      </c>
    </row>
    <row r="173" spans="1:18" ht="14.4" thickTop="1" thickBot="1" x14ac:dyDescent="0.3">
      <c r="A173" s="116">
        <f t="shared" si="2"/>
        <v>44</v>
      </c>
      <c r="B173" s="19" t="s">
        <v>59</v>
      </c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31"/>
      <c r="P173" s="109"/>
      <c r="Q173" s="109"/>
      <c r="R173" s="109"/>
    </row>
    <row r="174" spans="1:18" x14ac:dyDescent="0.25">
      <c r="A174" s="110" t="str">
        <f>$A$58</f>
        <v>Supporting Schedules:  B-08, B-11</v>
      </c>
      <c r="O174" s="112"/>
      <c r="P174" s="110" t="str">
        <f>$P$58</f>
        <v>Recap Schedules:  B-03, B-06</v>
      </c>
    </row>
    <row r="175" spans="1:18" ht="13.8" thickBot="1" x14ac:dyDescent="0.3">
      <c r="A175" s="109" t="str">
        <f>$A$1</f>
        <v>SCHEDULE B-07</v>
      </c>
      <c r="B175" s="109"/>
      <c r="C175" s="109"/>
      <c r="D175" s="109"/>
      <c r="E175" s="109"/>
      <c r="F175" s="109"/>
      <c r="G175" s="109" t="str">
        <f>$G$1</f>
        <v>PLANT BALANCES BY ACCOUNT AND SUB-ACCOUNT</v>
      </c>
      <c r="H175" s="109"/>
      <c r="I175" s="109"/>
      <c r="J175" s="109"/>
      <c r="K175" s="109"/>
      <c r="L175" s="109"/>
      <c r="M175" s="109"/>
      <c r="N175" s="109"/>
      <c r="O175" s="131"/>
      <c r="P175" s="109"/>
      <c r="Q175" s="109"/>
      <c r="R175" s="109" t="str">
        <f>"Page 14 of " &amp; $P$1</f>
        <v>Page 14 of 30</v>
      </c>
    </row>
    <row r="176" spans="1:18" x14ac:dyDescent="0.25">
      <c r="A176" s="110" t="str">
        <f>$A$2</f>
        <v>FLORIDA PUBLIC SERVICE COMMISSION</v>
      </c>
      <c r="B176" s="132"/>
      <c r="E176" s="112" t="str">
        <f>$E$2</f>
        <v xml:space="preserve">                  EXPLANATION:</v>
      </c>
      <c r="F176" s="110" t="str">
        <f>IF($F$2="","",$F$2)</f>
        <v>Provide the depreciation rate and plant balances for each account or sub-account to which</v>
      </c>
      <c r="J176" s="133"/>
      <c r="K176" s="133"/>
      <c r="M176" s="133"/>
      <c r="N176" s="133"/>
      <c r="O176" s="134"/>
      <c r="P176" s="110" t="str">
        <f>$P$2</f>
        <v>Type of data shown:</v>
      </c>
      <c r="R176" s="111"/>
    </row>
    <row r="177" spans="1:18" x14ac:dyDescent="0.25">
      <c r="B177" s="132"/>
      <c r="F177" s="110" t="str">
        <f>IF($F$3="","",$F$3)</f>
        <v>a separate depreciation rate is prescribed. (Include Amortization/Recovery schedule amounts).</v>
      </c>
      <c r="J177" s="112"/>
      <c r="K177" s="111"/>
      <c r="N177" s="112"/>
      <c r="O177" s="112" t="str">
        <f>IF($O$3=0,"",$O$3)</f>
        <v/>
      </c>
      <c r="P177" s="111" t="str">
        <f>$P$3</f>
        <v>Projected Test Year Ended 12/31/2025</v>
      </c>
      <c r="R177" s="112"/>
    </row>
    <row r="178" spans="1:18" x14ac:dyDescent="0.25">
      <c r="A178" s="110" t="str">
        <f>$A$4</f>
        <v>COMPANY: TAMPA ELECTRIC COMPANY</v>
      </c>
      <c r="B178" s="132"/>
      <c r="F178" s="110" t="str">
        <f>IF(+$F$4="","",$F$4)</f>
        <v/>
      </c>
      <c r="J178" s="112"/>
      <c r="K178" s="111"/>
      <c r="L178" s="112"/>
      <c r="O178" s="112" t="str">
        <f>IF($O$4=0,"",$O$4)</f>
        <v>XX</v>
      </c>
      <c r="P178" s="111" t="str">
        <f>$P$4</f>
        <v>Projected Prior Year Ended 12/31/2024</v>
      </c>
      <c r="R178" s="112"/>
    </row>
    <row r="179" spans="1:18" x14ac:dyDescent="0.25">
      <c r="B179" s="132"/>
      <c r="F179" s="110" t="str">
        <f>IF(+$F$5="","",$F$5)</f>
        <v/>
      </c>
      <c r="J179" s="112"/>
      <c r="K179" s="111"/>
      <c r="L179" s="112"/>
      <c r="O179" s="112" t="str">
        <f>IF($O$5=0,"",$O$5)</f>
        <v/>
      </c>
      <c r="P179" s="111" t="str">
        <f>$P$5</f>
        <v>Historical Prior Year Ended 12/31/2023</v>
      </c>
      <c r="R179" s="112"/>
    </row>
    <row r="180" spans="1:18" x14ac:dyDescent="0.25">
      <c r="J180" s="112"/>
      <c r="K180" s="111"/>
      <c r="L180" s="112"/>
      <c r="O180" s="112"/>
      <c r="P180" s="160" t="s">
        <v>573</v>
      </c>
      <c r="R180" s="112"/>
    </row>
    <row r="181" spans="1:18" x14ac:dyDescent="0.25">
      <c r="J181" s="112"/>
      <c r="K181" s="111"/>
      <c r="L181" s="112"/>
      <c r="O181" s="112"/>
      <c r="P181" s="160" t="s">
        <v>574</v>
      </c>
      <c r="R181" s="112"/>
    </row>
    <row r="182" spans="1:18" ht="13.8" thickBot="1" x14ac:dyDescent="0.3">
      <c r="A182" s="157" t="s">
        <v>572</v>
      </c>
      <c r="B182" s="109"/>
      <c r="C182" s="109"/>
      <c r="D182" s="109"/>
      <c r="E182" s="109"/>
      <c r="F182" s="109"/>
      <c r="G182" s="109"/>
      <c r="H182" s="116" t="s">
        <v>12</v>
      </c>
      <c r="I182" s="109"/>
      <c r="J182" s="109"/>
      <c r="K182" s="109"/>
      <c r="L182" s="109"/>
      <c r="M182" s="109"/>
      <c r="N182" s="109"/>
      <c r="O182" s="131"/>
      <c r="P182" s="161" t="s">
        <v>575</v>
      </c>
      <c r="Q182" s="109"/>
      <c r="R182" s="109"/>
    </row>
    <row r="183" spans="1:18" x14ac:dyDescent="0.25"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4"/>
      <c r="P183" s="113"/>
      <c r="Q183" s="113"/>
      <c r="R183" s="113"/>
    </row>
    <row r="184" spans="1:18" x14ac:dyDescent="0.25">
      <c r="C184" s="113" t="s">
        <v>13</v>
      </c>
      <c r="D184" s="113" t="s">
        <v>14</v>
      </c>
      <c r="E184" s="113"/>
      <c r="F184" s="113" t="s">
        <v>15</v>
      </c>
      <c r="G184" s="113"/>
      <c r="H184" s="113" t="s">
        <v>16</v>
      </c>
      <c r="I184" s="113"/>
      <c r="J184" s="115" t="s">
        <v>17</v>
      </c>
      <c r="K184" s="115"/>
      <c r="L184" s="113" t="s">
        <v>18</v>
      </c>
      <c r="M184" s="113"/>
      <c r="N184" s="113" t="s">
        <v>19</v>
      </c>
      <c r="O184" s="114"/>
      <c r="P184" s="113" t="s">
        <v>20</v>
      </c>
      <c r="Q184" s="113"/>
      <c r="R184" s="113" t="s">
        <v>21</v>
      </c>
    </row>
    <row r="185" spans="1:18" x14ac:dyDescent="0.25">
      <c r="C185" s="115" t="s">
        <v>22</v>
      </c>
      <c r="D185" s="115" t="s">
        <v>22</v>
      </c>
      <c r="F185" s="115" t="s">
        <v>23</v>
      </c>
      <c r="G185" s="115"/>
      <c r="H185" s="113" t="s">
        <v>24</v>
      </c>
      <c r="I185" s="115"/>
      <c r="J185" s="113" t="s">
        <v>25</v>
      </c>
      <c r="K185" s="115"/>
      <c r="L185" s="115" t="s">
        <v>25</v>
      </c>
      <c r="M185" s="115"/>
      <c r="O185" s="112"/>
      <c r="P185" s="115" t="s">
        <v>24</v>
      </c>
      <c r="R185" s="115"/>
    </row>
    <row r="186" spans="1:18" x14ac:dyDescent="0.25">
      <c r="A186" s="115" t="s">
        <v>26</v>
      </c>
      <c r="B186" s="115"/>
      <c r="C186" s="115" t="s">
        <v>27</v>
      </c>
      <c r="D186" s="115" t="s">
        <v>27</v>
      </c>
      <c r="E186" s="113"/>
      <c r="F186" s="115" t="s">
        <v>28</v>
      </c>
      <c r="G186" s="115"/>
      <c r="H186" s="115" t="s">
        <v>29</v>
      </c>
      <c r="I186" s="115"/>
      <c r="J186" s="115" t="s">
        <v>24</v>
      </c>
      <c r="K186" s="113"/>
      <c r="L186" s="115" t="s">
        <v>24</v>
      </c>
      <c r="M186" s="111"/>
      <c r="N186" s="115" t="s">
        <v>30</v>
      </c>
      <c r="O186" s="114"/>
      <c r="P186" s="113" t="s">
        <v>29</v>
      </c>
      <c r="Q186" s="113"/>
      <c r="R186" s="115" t="s">
        <v>31</v>
      </c>
    </row>
    <row r="187" spans="1:18" ht="13.8" thickBot="1" x14ac:dyDescent="0.3">
      <c r="A187" s="116" t="s">
        <v>32</v>
      </c>
      <c r="B187" s="116"/>
      <c r="C187" s="116" t="s">
        <v>33</v>
      </c>
      <c r="D187" s="116" t="s">
        <v>34</v>
      </c>
      <c r="E187" s="116"/>
      <c r="F187" s="117" t="s">
        <v>35</v>
      </c>
      <c r="G187" s="117"/>
      <c r="H187" s="117" t="s">
        <v>36</v>
      </c>
      <c r="I187" s="118"/>
      <c r="J187" s="117" t="s">
        <v>37</v>
      </c>
      <c r="K187" s="118"/>
      <c r="L187" s="118" t="s">
        <v>38</v>
      </c>
      <c r="M187" s="119"/>
      <c r="N187" s="119" t="s">
        <v>39</v>
      </c>
      <c r="O187" s="120"/>
      <c r="P187" s="119" t="s">
        <v>40</v>
      </c>
      <c r="Q187" s="119"/>
      <c r="R187" s="119" t="s">
        <v>41</v>
      </c>
    </row>
    <row r="188" spans="1:18" x14ac:dyDescent="0.25">
      <c r="A188" s="115">
        <v>1</v>
      </c>
      <c r="B188" s="115"/>
      <c r="O188" s="112"/>
    </row>
    <row r="189" spans="1:18" x14ac:dyDescent="0.25">
      <c r="A189" s="115">
        <f>A188+1</f>
        <v>2</v>
      </c>
      <c r="B189" s="115"/>
      <c r="D189" s="110" t="s">
        <v>90</v>
      </c>
      <c r="I189" s="8"/>
      <c r="K189" s="8"/>
      <c r="M189" s="8"/>
      <c r="O189" s="8"/>
      <c r="Q189" s="8"/>
    </row>
    <row r="190" spans="1:18" x14ac:dyDescent="0.25">
      <c r="A190" s="115">
        <f t="shared" ref="A190:A231" si="3">A189+1</f>
        <v>3</v>
      </c>
      <c r="B190" s="115"/>
      <c r="C190" s="115"/>
      <c r="D190" s="136" t="s">
        <v>91</v>
      </c>
      <c r="F190" s="130"/>
      <c r="G190" s="140"/>
      <c r="H190" s="14"/>
      <c r="I190" s="8"/>
      <c r="J190" s="141"/>
      <c r="K190" s="8"/>
      <c r="L190" s="141"/>
      <c r="M190" s="8"/>
      <c r="N190" s="141"/>
      <c r="O190" s="8"/>
      <c r="P190" s="141"/>
      <c r="Q190" s="8"/>
      <c r="R190" s="141"/>
    </row>
    <row r="191" spans="1:18" x14ac:dyDescent="0.25">
      <c r="A191" s="115">
        <f t="shared" si="3"/>
        <v>4</v>
      </c>
      <c r="B191" s="115"/>
      <c r="C191" s="113">
        <v>34180</v>
      </c>
      <c r="D191" s="110" t="s">
        <v>45</v>
      </c>
      <c r="F191" s="125">
        <f>VLOOKUP($C191,'ASDR FY1'!$A:$X,F$15,FALSE)*100</f>
        <v>3.1</v>
      </c>
      <c r="G191" s="112"/>
      <c r="H191" s="7">
        <f>VLOOKUP($C191,'ASDR FY1'!$A:$X,H$15,FALSE)/1000</f>
        <v>193028.87769000002</v>
      </c>
      <c r="I191" s="8"/>
      <c r="J191" s="7">
        <f>VLOOKUP($C191,'ASDR FY1'!$A:$X,J$15,FALSE)/1000</f>
        <v>0</v>
      </c>
      <c r="K191" s="9"/>
      <c r="L191" s="7">
        <f>VLOOKUP($C191,'ASDR FY1'!$A:$X,L$15,FALSE)/1000</f>
        <v>0</v>
      </c>
      <c r="M191" s="9"/>
      <c r="N191" s="7">
        <f>VLOOKUP($C191,'ASDR FY1'!$A:$X,N$14,FALSE)/1000+VLOOKUP($C191,'ASDR FY1'!$A:$X,N$15,FALSE)/1000</f>
        <v>0</v>
      </c>
      <c r="O191" s="8"/>
      <c r="P191" s="7">
        <f>SUM(H191,J191,L191,N191)</f>
        <v>193028.87769000002</v>
      </c>
      <c r="Q191" s="9"/>
      <c r="R191" s="7">
        <f>VLOOKUP($C191,'ASDR FY1'!$A:$X,R$15,FALSE)/1000</f>
        <v>193028.87768999999</v>
      </c>
    </row>
    <row r="192" spans="1:18" x14ac:dyDescent="0.25">
      <c r="A192" s="115">
        <f t="shared" si="3"/>
        <v>5</v>
      </c>
      <c r="B192" s="115"/>
      <c r="C192" s="113">
        <v>34280</v>
      </c>
      <c r="D192" s="110" t="s">
        <v>81</v>
      </c>
      <c r="F192" s="125">
        <f>VLOOKUP($C192,'ASDR FY1'!$A:$X,F$15,FALSE)*100</f>
        <v>3</v>
      </c>
      <c r="G192" s="112"/>
      <c r="H192" s="7">
        <f>VLOOKUP($C192,'ASDR FY1'!$A:$X,H$15,FALSE)/1000</f>
        <v>10797.010060000001</v>
      </c>
      <c r="I192" s="8"/>
      <c r="J192" s="7">
        <f>VLOOKUP($C192,'ASDR FY1'!$A:$X,J$15,FALSE)/1000</f>
        <v>2082.9735099999998</v>
      </c>
      <c r="K192" s="9"/>
      <c r="L192" s="7">
        <f>VLOOKUP($C192,'ASDR FY1'!$A:$X,L$15,FALSE)/1000</f>
        <v>-416.59472</v>
      </c>
      <c r="M192" s="9"/>
      <c r="N192" s="7">
        <f>VLOOKUP($C192,'ASDR FY1'!$A:$X,N$14,FALSE)/1000+VLOOKUP($C192,'ASDR FY1'!$A:$X,N$15,FALSE)/1000</f>
        <v>0</v>
      </c>
      <c r="O192" s="8"/>
      <c r="P192" s="7">
        <f>SUM(H192,J192,L192,N192)</f>
        <v>12463.388850000001</v>
      </c>
      <c r="Q192" s="9"/>
      <c r="R192" s="7">
        <f>VLOOKUP($C192,'ASDR FY1'!$A:$X,R$15,FALSE)/1000</f>
        <v>11508.299000000001</v>
      </c>
    </row>
    <row r="193" spans="1:18" x14ac:dyDescent="0.25">
      <c r="A193" s="115">
        <f t="shared" si="3"/>
        <v>6</v>
      </c>
      <c r="B193" s="115"/>
      <c r="C193" s="113">
        <v>34380</v>
      </c>
      <c r="D193" s="110" t="s">
        <v>82</v>
      </c>
      <c r="F193" s="125">
        <f>VLOOKUP($C193,'ASDR FY1'!$A:$X,F$15,FALSE)*100</f>
        <v>3.5999999999999996</v>
      </c>
      <c r="G193" s="112"/>
      <c r="H193" s="7">
        <f>VLOOKUP($C193,'ASDR FY1'!$A:$X,H$15,FALSE)/1000</f>
        <v>11707.842430000001</v>
      </c>
      <c r="I193" s="8"/>
      <c r="J193" s="7">
        <f>VLOOKUP($C193,'ASDR FY1'!$A:$X,J$15,FALSE)/1000</f>
        <v>2082.9735099999998</v>
      </c>
      <c r="K193" s="9"/>
      <c r="L193" s="7">
        <f>VLOOKUP($C193,'ASDR FY1'!$A:$X,L$15,FALSE)/1000</f>
        <v>-416.59472</v>
      </c>
      <c r="M193" s="9"/>
      <c r="N193" s="7">
        <f>VLOOKUP($C193,'ASDR FY1'!$A:$X,N$14,FALSE)/1000+VLOOKUP($C193,'ASDR FY1'!$A:$X,N$15,FALSE)/1000</f>
        <v>0</v>
      </c>
      <c r="O193" s="8"/>
      <c r="P193" s="7">
        <f>SUM(H193,J193,L193,N193)</f>
        <v>13374.221220000001</v>
      </c>
      <c r="Q193" s="9"/>
      <c r="R193" s="7">
        <f>VLOOKUP($C193,'ASDR FY1'!$A:$X,R$15,FALSE)/1000</f>
        <v>12419.131369999999</v>
      </c>
    </row>
    <row r="194" spans="1:18" x14ac:dyDescent="0.25">
      <c r="A194" s="115">
        <f t="shared" si="3"/>
        <v>7</v>
      </c>
      <c r="B194" s="115"/>
      <c r="C194" s="113">
        <v>34580</v>
      </c>
      <c r="D194" s="110" t="s">
        <v>48</v>
      </c>
      <c r="F194" s="125">
        <f>VLOOKUP($C194,'ASDR FY1'!$A:$X,F$15,FALSE)*100</f>
        <v>3.5999999999999996</v>
      </c>
      <c r="G194" s="112"/>
      <c r="H194" s="7">
        <f>VLOOKUP($C194,'ASDR FY1'!$A:$X,H$15,FALSE)/1000</f>
        <v>14500.596529999997</v>
      </c>
      <c r="I194" s="8"/>
      <c r="J194" s="7">
        <f>VLOOKUP($C194,'ASDR FY1'!$A:$X,J$15,FALSE)/1000</f>
        <v>0</v>
      </c>
      <c r="K194" s="9"/>
      <c r="L194" s="7">
        <f>VLOOKUP($C194,'ASDR FY1'!$A:$X,L$15,FALSE)/1000</f>
        <v>0</v>
      </c>
      <c r="M194" s="9"/>
      <c r="N194" s="7">
        <f>VLOOKUP($C194,'ASDR FY1'!$A:$X,N$14,FALSE)/1000+VLOOKUP($C194,'ASDR FY1'!$A:$X,N$15,FALSE)/1000</f>
        <v>0</v>
      </c>
      <c r="O194" s="8"/>
      <c r="P194" s="7">
        <f>SUM(H194,J194,L194,N194)</f>
        <v>14500.596529999997</v>
      </c>
      <c r="Q194" s="9"/>
      <c r="R194" s="7">
        <f>VLOOKUP($C194,'ASDR FY1'!$A:$X,R$15,FALSE)/1000</f>
        <v>14500.596529999999</v>
      </c>
    </row>
    <row r="195" spans="1:18" x14ac:dyDescent="0.25">
      <c r="A195" s="115">
        <f t="shared" si="3"/>
        <v>8</v>
      </c>
      <c r="B195" s="115"/>
      <c r="C195" s="113">
        <v>34680</v>
      </c>
      <c r="D195" s="110" t="s">
        <v>49</v>
      </c>
      <c r="F195" s="125">
        <f>VLOOKUP($C195,'ASDR FY1'!$A:$X,F$15,FALSE)*100</f>
        <v>5.6000000000000005</v>
      </c>
      <c r="G195" s="112"/>
      <c r="H195" s="7">
        <f>VLOOKUP($C195,'ASDR FY1'!$A:$X,H$15,FALSE)/1000</f>
        <v>1259.5077800000001</v>
      </c>
      <c r="I195" s="8"/>
      <c r="J195" s="7">
        <f>VLOOKUP($C195,'ASDR FY1'!$A:$X,J$15,FALSE)/1000</f>
        <v>0</v>
      </c>
      <c r="K195" s="9"/>
      <c r="L195" s="7">
        <f>VLOOKUP($C195,'ASDR FY1'!$A:$X,L$15,FALSE)/1000</f>
        <v>0</v>
      </c>
      <c r="M195" s="9"/>
      <c r="N195" s="7">
        <f>VLOOKUP($C195,'ASDR FY1'!$A:$X,N$14,FALSE)/1000+VLOOKUP($C195,'ASDR FY1'!$A:$X,N$15,FALSE)/1000</f>
        <v>0</v>
      </c>
      <c r="O195" s="8"/>
      <c r="P195" s="7">
        <f>SUM(H195,J195,L195,N195)</f>
        <v>1259.5077800000001</v>
      </c>
      <c r="Q195" s="9"/>
      <c r="R195" s="7">
        <f>VLOOKUP($C195,'ASDR FY1'!$A:$X,R$15,FALSE)/1000</f>
        <v>1259.5077800000001</v>
      </c>
    </row>
    <row r="196" spans="1:18" x14ac:dyDescent="0.25">
      <c r="A196" s="115">
        <f t="shared" si="3"/>
        <v>9</v>
      </c>
      <c r="B196" s="121"/>
      <c r="C196" s="115"/>
      <c r="D196" s="110" t="s">
        <v>92</v>
      </c>
      <c r="F196" s="125"/>
      <c r="H196" s="11">
        <f>SUM(H191:H195)</f>
        <v>231293.83449000004</v>
      </c>
      <c r="I196" s="14"/>
      <c r="J196" s="11">
        <f>SUM(J191:J195)</f>
        <v>4165.9470199999996</v>
      </c>
      <c r="K196" s="14"/>
      <c r="L196" s="11">
        <f>SUM(L191:L195)</f>
        <v>-833.18943999999999</v>
      </c>
      <c r="M196" s="14"/>
      <c r="N196" s="11">
        <f>SUM(N191:N195)</f>
        <v>0</v>
      </c>
      <c r="O196" s="14"/>
      <c r="P196" s="11">
        <f>SUM(P191:P195)</f>
        <v>234626.59207000004</v>
      </c>
      <c r="Q196" s="14"/>
      <c r="R196" s="11">
        <f>SUM(R191:R195)</f>
        <v>232716.41237000001</v>
      </c>
    </row>
    <row r="197" spans="1:18" x14ac:dyDescent="0.25">
      <c r="A197" s="115">
        <f t="shared" si="3"/>
        <v>10</v>
      </c>
      <c r="B197" s="121"/>
      <c r="F197" s="126"/>
      <c r="O197" s="112"/>
    </row>
    <row r="198" spans="1:18" x14ac:dyDescent="0.25">
      <c r="A198" s="115">
        <f t="shared" si="3"/>
        <v>11</v>
      </c>
      <c r="B198" s="121"/>
      <c r="D198" s="110" t="s">
        <v>93</v>
      </c>
      <c r="F198" s="125"/>
      <c r="G198" s="140"/>
      <c r="H198" s="13"/>
      <c r="I198" s="8"/>
      <c r="J198" s="13"/>
      <c r="K198" s="8"/>
      <c r="L198" s="14"/>
      <c r="M198" s="8"/>
      <c r="N198" s="14"/>
      <c r="O198" s="8"/>
      <c r="P198" s="14"/>
      <c r="Q198" s="8"/>
      <c r="R198" s="14"/>
    </row>
    <row r="199" spans="1:18" x14ac:dyDescent="0.25">
      <c r="A199" s="115">
        <f t="shared" si="3"/>
        <v>12</v>
      </c>
      <c r="B199" s="121"/>
      <c r="C199" s="113">
        <v>34181</v>
      </c>
      <c r="D199" s="110" t="s">
        <v>45</v>
      </c>
      <c r="F199" s="125">
        <f>VLOOKUP($C199,'ASDR FY1'!$A:$X,F$15,FALSE)*100</f>
        <v>3.6999999999999997</v>
      </c>
      <c r="G199" s="112"/>
      <c r="H199" s="7">
        <f>VLOOKUP($C199,'ASDR FY1'!$A:$X,H$15,FALSE)/1000</f>
        <v>53101.275780000018</v>
      </c>
      <c r="I199" s="8"/>
      <c r="J199" s="7">
        <f>VLOOKUP($C199,'ASDR FY1'!$A:$X,J$15,FALSE)/1000</f>
        <v>0</v>
      </c>
      <c r="K199" s="9"/>
      <c r="L199" s="7">
        <f>VLOOKUP($C199,'ASDR FY1'!$A:$X,L$15,FALSE)/1000</f>
        <v>0</v>
      </c>
      <c r="M199" s="9"/>
      <c r="N199" s="7">
        <f>VLOOKUP($C199,'ASDR FY1'!$A:$X,N$14,FALSE)/1000+VLOOKUP($C199,'ASDR FY1'!$A:$X,N$15,FALSE)/1000</f>
        <v>0</v>
      </c>
      <c r="O199" s="8"/>
      <c r="P199" s="7">
        <f>SUM(H199,J199,L199,N199)</f>
        <v>53101.275780000018</v>
      </c>
      <c r="Q199" s="9"/>
      <c r="R199" s="7">
        <f>VLOOKUP($C199,'ASDR FY1'!$A:$X,R$15,FALSE)/1000</f>
        <v>53101.275780000004</v>
      </c>
    </row>
    <row r="200" spans="1:18" x14ac:dyDescent="0.25">
      <c r="A200" s="115">
        <f t="shared" si="3"/>
        <v>13</v>
      </c>
      <c r="B200" s="121"/>
      <c r="C200" s="113">
        <v>34281</v>
      </c>
      <c r="D200" s="110" t="s">
        <v>81</v>
      </c>
      <c r="F200" s="125">
        <f>VLOOKUP($C200,'ASDR FY1'!$A:$X,F$15,FALSE)*100</f>
        <v>4.1000000000000005</v>
      </c>
      <c r="G200" s="112"/>
      <c r="H200" s="7">
        <f>VLOOKUP($C200,'ASDR FY1'!$A:$X,H$15,FALSE)/1000</f>
        <v>245866.77805999998</v>
      </c>
      <c r="I200" s="8"/>
      <c r="J200" s="7">
        <f>VLOOKUP($C200,'ASDR FY1'!$A:$X,J$15,FALSE)/1000</f>
        <v>4154.8867700000001</v>
      </c>
      <c r="K200" s="9"/>
      <c r="L200" s="7">
        <f>VLOOKUP($C200,'ASDR FY1'!$A:$X,L$15,FALSE)/1000</f>
        <v>-830.97736999999995</v>
      </c>
      <c r="M200" s="9"/>
      <c r="N200" s="7">
        <f>VLOOKUP($C200,'ASDR FY1'!$A:$X,N$14,FALSE)/1000+VLOOKUP($C200,'ASDR FY1'!$A:$X,N$15,FALSE)/1000</f>
        <v>0</v>
      </c>
      <c r="O200" s="8"/>
      <c r="P200" s="7">
        <f>SUM(H200,J200,L200,N200)</f>
        <v>249190.68745999999</v>
      </c>
      <c r="Q200" s="9"/>
      <c r="R200" s="7">
        <f>VLOOKUP($C200,'ASDR FY1'!$A:$X,R$15,FALSE)/1000</f>
        <v>247608.60052000001</v>
      </c>
    </row>
    <row r="201" spans="1:18" x14ac:dyDescent="0.25">
      <c r="A201" s="115">
        <f t="shared" si="3"/>
        <v>14</v>
      </c>
      <c r="B201" s="121"/>
      <c r="C201" s="113">
        <v>34381</v>
      </c>
      <c r="D201" s="110" t="s">
        <v>82</v>
      </c>
      <c r="F201" s="125">
        <f>VLOOKUP($C201,'ASDR FY1'!$A:$X,F$15,FALSE)*100</f>
        <v>4.5999999999999996</v>
      </c>
      <c r="G201" s="112"/>
      <c r="H201" s="7">
        <f>VLOOKUP($C201,'ASDR FY1'!$A:$X,H$15,FALSE)/1000</f>
        <v>160695.37131999986</v>
      </c>
      <c r="I201" s="8"/>
      <c r="J201" s="7">
        <f>VLOOKUP($C201,'ASDR FY1'!$A:$X,J$15,FALSE)/1000</f>
        <v>4154.8867700000001</v>
      </c>
      <c r="K201" s="9"/>
      <c r="L201" s="7">
        <f>VLOOKUP($C201,'ASDR FY1'!$A:$X,L$15,FALSE)/1000</f>
        <v>-830.97736999999995</v>
      </c>
      <c r="M201" s="9"/>
      <c r="N201" s="7">
        <f>VLOOKUP($C201,'ASDR FY1'!$A:$X,N$14,FALSE)/1000+VLOOKUP($C201,'ASDR FY1'!$A:$X,N$15,FALSE)/1000</f>
        <v>0</v>
      </c>
      <c r="O201" s="8"/>
      <c r="P201" s="7">
        <f>SUM(H201,J201,L201,N201)</f>
        <v>164019.28071999986</v>
      </c>
      <c r="Q201" s="9"/>
      <c r="R201" s="7">
        <f>VLOOKUP($C201,'ASDR FY1'!$A:$X,R$15,FALSE)/1000</f>
        <v>162437.19378</v>
      </c>
    </row>
    <row r="202" spans="1:18" x14ac:dyDescent="0.25">
      <c r="A202" s="115">
        <f t="shared" si="3"/>
        <v>15</v>
      </c>
      <c r="B202" s="121"/>
      <c r="C202" s="113">
        <v>34581</v>
      </c>
      <c r="D202" s="110" t="s">
        <v>48</v>
      </c>
      <c r="F202" s="125">
        <f>VLOOKUP($C202,'ASDR FY1'!$A:$X,F$15,FALSE)*100</f>
        <v>3.3000000000000003</v>
      </c>
      <c r="G202" s="112"/>
      <c r="H202" s="7">
        <f>VLOOKUP($C202,'ASDR FY1'!$A:$X,H$15,FALSE)/1000</f>
        <v>60502.604230000012</v>
      </c>
      <c r="I202" s="8"/>
      <c r="J202" s="7">
        <f>VLOOKUP($C202,'ASDR FY1'!$A:$X,J$15,FALSE)/1000</f>
        <v>0</v>
      </c>
      <c r="K202" s="9"/>
      <c r="L202" s="7">
        <f>VLOOKUP($C202,'ASDR FY1'!$A:$X,L$15,FALSE)/1000</f>
        <v>0</v>
      </c>
      <c r="M202" s="9"/>
      <c r="N202" s="7">
        <f>VLOOKUP($C202,'ASDR FY1'!$A:$X,N$14,FALSE)/1000+VLOOKUP($C202,'ASDR FY1'!$A:$X,N$15,FALSE)/1000</f>
        <v>0</v>
      </c>
      <c r="O202" s="8"/>
      <c r="P202" s="7">
        <f>SUM(H202,J202,L202,N202)</f>
        <v>60502.604230000012</v>
      </c>
      <c r="Q202" s="9"/>
      <c r="R202" s="7">
        <f>VLOOKUP($C202,'ASDR FY1'!$A:$X,R$15,FALSE)/1000</f>
        <v>60502.604229999997</v>
      </c>
    </row>
    <row r="203" spans="1:18" x14ac:dyDescent="0.25">
      <c r="A203" s="115">
        <f t="shared" si="3"/>
        <v>16</v>
      </c>
      <c r="B203" s="121"/>
      <c r="C203" s="113">
        <v>34681</v>
      </c>
      <c r="D203" s="110" t="s">
        <v>49</v>
      </c>
      <c r="F203" s="125">
        <f>VLOOKUP($C203,'ASDR FY1'!$A:$X,F$15,FALSE)*100</f>
        <v>4.2</v>
      </c>
      <c r="G203" s="112"/>
      <c r="H203" s="7">
        <f>VLOOKUP($C203,'ASDR FY1'!$A:$X,H$15,FALSE)/1000</f>
        <v>6717.0605899999982</v>
      </c>
      <c r="I203" s="8"/>
      <c r="J203" s="7">
        <f>VLOOKUP($C203,'ASDR FY1'!$A:$X,J$15,FALSE)/1000</f>
        <v>0</v>
      </c>
      <c r="K203" s="9"/>
      <c r="L203" s="7">
        <f>VLOOKUP($C203,'ASDR FY1'!$A:$X,L$15,FALSE)/1000</f>
        <v>0</v>
      </c>
      <c r="M203" s="9"/>
      <c r="N203" s="7">
        <f>VLOOKUP($C203,'ASDR FY1'!$A:$X,N$14,FALSE)/1000+VLOOKUP($C203,'ASDR FY1'!$A:$X,N$15,FALSE)/1000</f>
        <v>0</v>
      </c>
      <c r="O203" s="8"/>
      <c r="P203" s="7">
        <f>SUM(H203,J203,L203,N203)</f>
        <v>6717.0605899999982</v>
      </c>
      <c r="Q203" s="9"/>
      <c r="R203" s="7">
        <f>VLOOKUP($C203,'ASDR FY1'!$A:$X,R$15,FALSE)/1000</f>
        <v>6717.06059</v>
      </c>
    </row>
    <row r="204" spans="1:18" x14ac:dyDescent="0.25">
      <c r="A204" s="115">
        <f t="shared" si="3"/>
        <v>17</v>
      </c>
      <c r="B204" s="121"/>
      <c r="C204" s="113"/>
      <c r="D204" s="136" t="s">
        <v>94</v>
      </c>
      <c r="F204" s="125"/>
      <c r="H204" s="11">
        <f>SUM(H199:H203)</f>
        <v>526883.08997999982</v>
      </c>
      <c r="I204" s="14"/>
      <c r="J204" s="11">
        <f>SUM(J199:J203)</f>
        <v>8309.7735400000001</v>
      </c>
      <c r="K204" s="14"/>
      <c r="L204" s="11">
        <f>SUM(L199:L203)</f>
        <v>-1661.9547399999999</v>
      </c>
      <c r="M204" s="14"/>
      <c r="N204" s="11">
        <f>SUM(N199:N203)</f>
        <v>0</v>
      </c>
      <c r="O204" s="14"/>
      <c r="P204" s="11">
        <f>SUM(P199:P203)</f>
        <v>533530.90877999994</v>
      </c>
      <c r="Q204" s="14"/>
      <c r="R204" s="11">
        <f>SUM(R199:R203)</f>
        <v>530366.73489999992</v>
      </c>
    </row>
    <row r="205" spans="1:18" x14ac:dyDescent="0.25">
      <c r="A205" s="115">
        <f t="shared" si="3"/>
        <v>18</v>
      </c>
      <c r="B205" s="121"/>
      <c r="F205" s="126"/>
      <c r="O205" s="112"/>
    </row>
    <row r="206" spans="1:18" x14ac:dyDescent="0.25">
      <c r="A206" s="115">
        <f t="shared" si="3"/>
        <v>19</v>
      </c>
      <c r="B206" s="121"/>
      <c r="C206" s="115"/>
      <c r="D206" s="136" t="s">
        <v>95</v>
      </c>
      <c r="F206" s="126"/>
      <c r="H206" s="23"/>
      <c r="I206" s="8"/>
      <c r="J206" s="142"/>
      <c r="K206" s="8"/>
      <c r="L206" s="142"/>
      <c r="M206" s="8"/>
      <c r="N206" s="142"/>
      <c r="O206" s="8"/>
      <c r="P206" s="142"/>
      <c r="Q206" s="8"/>
      <c r="R206" s="142"/>
    </row>
    <row r="207" spans="1:18" x14ac:dyDescent="0.25">
      <c r="A207" s="115">
        <f t="shared" si="3"/>
        <v>20</v>
      </c>
      <c r="B207" s="121"/>
      <c r="C207" s="113">
        <v>34182</v>
      </c>
      <c r="D207" s="110" t="s">
        <v>45</v>
      </c>
      <c r="F207" s="125">
        <f>VLOOKUP($C207,'ASDR FY1'!$A:$X,F$15,FALSE)*100</f>
        <v>2.6</v>
      </c>
      <c r="G207" s="112"/>
      <c r="H207" s="7">
        <f>VLOOKUP($C207,'ASDR FY1'!$A:$X,H$15,FALSE)/1000</f>
        <v>2342.1552899999997</v>
      </c>
      <c r="I207" s="8"/>
      <c r="J207" s="7">
        <f>VLOOKUP($C207,'ASDR FY1'!$A:$X,J$15,FALSE)/1000</f>
        <v>0</v>
      </c>
      <c r="K207" s="9"/>
      <c r="L207" s="7">
        <f>VLOOKUP($C207,'ASDR FY1'!$A:$X,L$15,FALSE)/1000</f>
        <v>0</v>
      </c>
      <c r="M207" s="9"/>
      <c r="N207" s="7">
        <f>VLOOKUP($C207,'ASDR FY1'!$A:$X,N$14,FALSE)/1000+VLOOKUP($C207,'ASDR FY1'!$A:$X,N$15,FALSE)/1000</f>
        <v>0</v>
      </c>
      <c r="O207" s="8"/>
      <c r="P207" s="7">
        <f>SUM(H207,J207,L207,N207)</f>
        <v>2342.1552899999997</v>
      </c>
      <c r="Q207" s="9"/>
      <c r="R207" s="7">
        <f>VLOOKUP($C207,'ASDR FY1'!$A:$X,R$15,FALSE)/1000</f>
        <v>2342.1552900000002</v>
      </c>
    </row>
    <row r="208" spans="1:18" x14ac:dyDescent="0.25">
      <c r="A208" s="115">
        <f t="shared" si="3"/>
        <v>21</v>
      </c>
      <c r="B208" s="121"/>
      <c r="C208" s="113">
        <v>34282</v>
      </c>
      <c r="D208" s="110" t="s">
        <v>81</v>
      </c>
      <c r="F208" s="125">
        <f>VLOOKUP($C208,'ASDR FY1'!$A:$X,F$15,FALSE)*100</f>
        <v>4.3</v>
      </c>
      <c r="G208" s="112"/>
      <c r="H208" s="7">
        <f>VLOOKUP($C208,'ASDR FY1'!$A:$X,H$15,FALSE)/1000</f>
        <v>2196.1604500000003</v>
      </c>
      <c r="I208" s="8"/>
      <c r="J208" s="7">
        <f>VLOOKUP($C208,'ASDR FY1'!$A:$X,J$15,FALSE)/1000</f>
        <v>1906.3501999999999</v>
      </c>
      <c r="K208" s="9"/>
      <c r="L208" s="7">
        <f>VLOOKUP($C208,'ASDR FY1'!$A:$X,L$15,FALSE)/1000</f>
        <v>-381.27004999999997</v>
      </c>
      <c r="M208" s="9"/>
      <c r="N208" s="7">
        <f>VLOOKUP($C208,'ASDR FY1'!$A:$X,N$14,FALSE)/1000+VLOOKUP($C208,'ASDR FY1'!$A:$X,N$15,FALSE)/1000</f>
        <v>0</v>
      </c>
      <c r="O208" s="8"/>
      <c r="P208" s="7">
        <f>SUM(H208,J208,L208,N208)</f>
        <v>3721.2406000000001</v>
      </c>
      <c r="Q208" s="9"/>
      <c r="R208" s="7">
        <f>VLOOKUP($C208,'ASDR FY1'!$A:$X,R$15,FALSE)/1000</f>
        <v>2370.1329000000001</v>
      </c>
    </row>
    <row r="209" spans="1:18" x14ac:dyDescent="0.25">
      <c r="A209" s="115">
        <f t="shared" si="3"/>
        <v>22</v>
      </c>
      <c r="B209" s="121"/>
      <c r="C209" s="113">
        <v>34382</v>
      </c>
      <c r="D209" s="110" t="s">
        <v>82</v>
      </c>
      <c r="F209" s="125">
        <f>VLOOKUP($C209,'ASDR FY1'!$A:$X,F$15,FALSE)*100</f>
        <v>4.9000000000000004</v>
      </c>
      <c r="G209" s="112"/>
      <c r="H209" s="7">
        <f>VLOOKUP($C209,'ASDR FY1'!$A:$X,H$15,FALSE)/1000</f>
        <v>35942.249069999998</v>
      </c>
      <c r="I209" s="8"/>
      <c r="J209" s="7">
        <f>VLOOKUP($C209,'ASDR FY1'!$A:$X,J$15,FALSE)/1000</f>
        <v>1906.3501999999999</v>
      </c>
      <c r="K209" s="9"/>
      <c r="L209" s="7">
        <f>VLOOKUP($C209,'ASDR FY1'!$A:$X,L$15,FALSE)/1000</f>
        <v>-381.27004999999997</v>
      </c>
      <c r="M209" s="9"/>
      <c r="N209" s="7">
        <f>VLOOKUP($C209,'ASDR FY1'!$A:$X,N$14,FALSE)/1000+VLOOKUP($C209,'ASDR FY1'!$A:$X,N$15,FALSE)/1000</f>
        <v>0</v>
      </c>
      <c r="O209" s="8"/>
      <c r="P209" s="7">
        <f>SUM(H209,J209,L209,N209)</f>
        <v>37467.32922</v>
      </c>
      <c r="Q209" s="9"/>
      <c r="R209" s="7">
        <f>VLOOKUP($C209,'ASDR FY1'!$A:$X,R$15,FALSE)/1000</f>
        <v>36116.221520000006</v>
      </c>
    </row>
    <row r="210" spans="1:18" x14ac:dyDescent="0.25">
      <c r="A210" s="115">
        <f t="shared" si="3"/>
        <v>23</v>
      </c>
      <c r="B210" s="121"/>
      <c r="C210" s="113">
        <v>34582</v>
      </c>
      <c r="D210" s="110" t="s">
        <v>48</v>
      </c>
      <c r="F210" s="125">
        <f>VLOOKUP($C210,'ASDR FY1'!$A:$X,F$15,FALSE)*100</f>
        <v>3.4000000000000004</v>
      </c>
      <c r="G210" s="112"/>
      <c r="H210" s="7">
        <f>VLOOKUP($C210,'ASDR FY1'!$A:$X,H$15,FALSE)/1000</f>
        <v>19218.097860000002</v>
      </c>
      <c r="I210" s="8"/>
      <c r="J210" s="7">
        <f>VLOOKUP($C210,'ASDR FY1'!$A:$X,J$15,FALSE)/1000</f>
        <v>0</v>
      </c>
      <c r="K210" s="9"/>
      <c r="L210" s="7">
        <f>VLOOKUP($C210,'ASDR FY1'!$A:$X,L$15,FALSE)/1000</f>
        <v>0</v>
      </c>
      <c r="M210" s="9"/>
      <c r="N210" s="7">
        <f>VLOOKUP($C210,'ASDR FY1'!$A:$X,N$14,FALSE)/1000+VLOOKUP($C210,'ASDR FY1'!$A:$X,N$15,FALSE)/1000</f>
        <v>0</v>
      </c>
      <c r="O210" s="8"/>
      <c r="P210" s="7">
        <f>SUM(H210,J210,L210,N210)</f>
        <v>19218.097860000002</v>
      </c>
      <c r="Q210" s="9"/>
      <c r="R210" s="7">
        <f>VLOOKUP($C210,'ASDR FY1'!$A:$X,R$15,FALSE)/1000</f>
        <v>19218.097859999998</v>
      </c>
    </row>
    <row r="211" spans="1:18" x14ac:dyDescent="0.25">
      <c r="A211" s="115">
        <f t="shared" si="3"/>
        <v>24</v>
      </c>
      <c r="B211" s="121"/>
      <c r="C211" s="113">
        <v>34682</v>
      </c>
      <c r="D211" s="110" t="s">
        <v>49</v>
      </c>
      <c r="F211" s="125">
        <f>VLOOKUP($C211,'ASDR FY1'!$A:$X,F$15,FALSE)*100</f>
        <v>1.7000000000000002</v>
      </c>
      <c r="G211" s="112"/>
      <c r="H211" s="7">
        <f>VLOOKUP($C211,'ASDR FY1'!$A:$X,H$15,FALSE)/1000</f>
        <v>173.20990999999998</v>
      </c>
      <c r="I211" s="8"/>
      <c r="J211" s="7">
        <f>VLOOKUP($C211,'ASDR FY1'!$A:$X,J$15,FALSE)/1000</f>
        <v>0</v>
      </c>
      <c r="K211" s="9"/>
      <c r="L211" s="7">
        <f>VLOOKUP($C211,'ASDR FY1'!$A:$X,L$15,FALSE)/1000</f>
        <v>0</v>
      </c>
      <c r="M211" s="9"/>
      <c r="N211" s="7">
        <f>VLOOKUP($C211,'ASDR FY1'!$A:$X,N$14,FALSE)/1000+VLOOKUP($C211,'ASDR FY1'!$A:$X,N$15,FALSE)/1000</f>
        <v>0</v>
      </c>
      <c r="O211" s="8"/>
      <c r="P211" s="7">
        <f>SUM(H211,J211,L211,N211)</f>
        <v>173.20990999999998</v>
      </c>
      <c r="Q211" s="9"/>
      <c r="R211" s="7">
        <f>VLOOKUP($C211,'ASDR FY1'!$A:$X,R$15,FALSE)/1000</f>
        <v>173.20991000000001</v>
      </c>
    </row>
    <row r="212" spans="1:18" x14ac:dyDescent="0.25">
      <c r="A212" s="115">
        <f t="shared" si="3"/>
        <v>25</v>
      </c>
      <c r="B212" s="121"/>
      <c r="C212" s="115"/>
      <c r="D212" s="136" t="s">
        <v>96</v>
      </c>
      <c r="F212" s="125"/>
      <c r="H212" s="11">
        <f>SUM(H207:H211)</f>
        <v>59871.872579999996</v>
      </c>
      <c r="I212" s="14"/>
      <c r="J212" s="11">
        <f>SUM(J207:J211)</f>
        <v>3812.7003999999997</v>
      </c>
      <c r="K212" s="14"/>
      <c r="L212" s="11">
        <f>SUM(L207:L211)</f>
        <v>-762.54009999999994</v>
      </c>
      <c r="M212" s="14"/>
      <c r="N212" s="11">
        <f>SUM(N207:N211)</f>
        <v>0</v>
      </c>
      <c r="O212" s="14"/>
      <c r="P212" s="11">
        <f>SUM(P207:P211)</f>
        <v>62922.032879999999</v>
      </c>
      <c r="Q212" s="14"/>
      <c r="R212" s="11">
        <f>SUM(R207:R211)</f>
        <v>60219.817480000005</v>
      </c>
    </row>
    <row r="213" spans="1:18" x14ac:dyDescent="0.25">
      <c r="A213" s="115">
        <f t="shared" si="3"/>
        <v>26</v>
      </c>
      <c r="B213" s="121"/>
      <c r="F213" s="126"/>
      <c r="O213" s="112"/>
    </row>
    <row r="214" spans="1:18" x14ac:dyDescent="0.25">
      <c r="A214" s="115">
        <f t="shared" si="3"/>
        <v>27</v>
      </c>
      <c r="B214" s="121"/>
      <c r="C214" s="125"/>
      <c r="D214" s="136" t="s">
        <v>97</v>
      </c>
      <c r="F214" s="125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</row>
    <row r="215" spans="1:18" x14ac:dyDescent="0.25">
      <c r="A215" s="115">
        <f t="shared" si="3"/>
        <v>28</v>
      </c>
      <c r="B215" s="121"/>
      <c r="C215" s="113">
        <v>34183</v>
      </c>
      <c r="D215" s="110" t="s">
        <v>45</v>
      </c>
      <c r="F215" s="125">
        <f>VLOOKUP($C215,'ASDR FY1'!$A:$X,F$15,FALSE)*100</f>
        <v>2.6</v>
      </c>
      <c r="G215" s="112"/>
      <c r="H215" s="7">
        <f>VLOOKUP($C215,'ASDR FY1'!$A:$X,H$15,FALSE)/1000</f>
        <v>10708.676690000002</v>
      </c>
      <c r="I215" s="8"/>
      <c r="J215" s="7">
        <f>VLOOKUP($C215,'ASDR FY1'!$A:$X,J$15,FALSE)/1000</f>
        <v>0</v>
      </c>
      <c r="K215" s="9"/>
      <c r="L215" s="7">
        <f>VLOOKUP($C215,'ASDR FY1'!$A:$X,L$15,FALSE)/1000</f>
        <v>0</v>
      </c>
      <c r="M215" s="9"/>
      <c r="N215" s="7">
        <f>VLOOKUP($C215,'ASDR FY1'!$A:$X,N$14,FALSE)/1000+VLOOKUP($C215,'ASDR FY1'!$A:$X,N$15,FALSE)/1000</f>
        <v>0</v>
      </c>
      <c r="O215" s="8"/>
      <c r="P215" s="7">
        <f>SUM(H215,J215,L215,N215)</f>
        <v>10708.676690000002</v>
      </c>
      <c r="Q215" s="9"/>
      <c r="R215" s="7">
        <f>VLOOKUP($C215,'ASDR FY1'!$A:$X,R$15,FALSE)/1000</f>
        <v>10708.67669</v>
      </c>
    </row>
    <row r="216" spans="1:18" x14ac:dyDescent="0.25">
      <c r="A216" s="115">
        <f t="shared" si="3"/>
        <v>29</v>
      </c>
      <c r="B216" s="121"/>
      <c r="C216" s="113">
        <v>34283</v>
      </c>
      <c r="D216" s="110" t="s">
        <v>81</v>
      </c>
      <c r="F216" s="125">
        <f>VLOOKUP($C216,'ASDR FY1'!$A:$X,F$15,FALSE)*100</f>
        <v>3.2</v>
      </c>
      <c r="G216" s="112"/>
      <c r="H216" s="7">
        <f>VLOOKUP($C216,'ASDR FY1'!$A:$X,H$15,FALSE)/1000</f>
        <v>1456.39762</v>
      </c>
      <c r="I216" s="8"/>
      <c r="J216" s="7">
        <f>VLOOKUP($C216,'ASDR FY1'!$A:$X,J$15,FALSE)/1000</f>
        <v>488.36672999999996</v>
      </c>
      <c r="K216" s="9"/>
      <c r="L216" s="7">
        <f>VLOOKUP($C216,'ASDR FY1'!$A:$X,L$15,FALSE)/1000</f>
        <v>-97.673339999999996</v>
      </c>
      <c r="M216" s="9"/>
      <c r="N216" s="7">
        <f>VLOOKUP($C216,'ASDR FY1'!$A:$X,N$14,FALSE)/1000+VLOOKUP($C216,'ASDR FY1'!$A:$X,N$15,FALSE)/1000</f>
        <v>0</v>
      </c>
      <c r="O216" s="8"/>
      <c r="P216" s="7">
        <f>SUM(H216,J216,L216,N216)</f>
        <v>1847.0910099999999</v>
      </c>
      <c r="Q216" s="9"/>
      <c r="R216" s="7">
        <f>VLOOKUP($C216,'ASDR FY1'!$A:$X,R$15,FALSE)/1000</f>
        <v>1544.08645</v>
      </c>
    </row>
    <row r="217" spans="1:18" x14ac:dyDescent="0.25">
      <c r="A217" s="115">
        <f t="shared" si="3"/>
        <v>30</v>
      </c>
      <c r="B217" s="121"/>
      <c r="C217" s="113">
        <v>34383</v>
      </c>
      <c r="D217" s="110" t="s">
        <v>82</v>
      </c>
      <c r="F217" s="125">
        <f>VLOOKUP($C217,'ASDR FY1'!$A:$X,F$15,FALSE)*100</f>
        <v>3.5999999999999996</v>
      </c>
      <c r="G217" s="112"/>
      <c r="H217" s="7">
        <f>VLOOKUP($C217,'ASDR FY1'!$A:$X,H$15,FALSE)/1000</f>
        <v>38320.836579999981</v>
      </c>
      <c r="I217" s="8"/>
      <c r="J217" s="7">
        <f>VLOOKUP($C217,'ASDR FY1'!$A:$X,J$15,FALSE)/1000</f>
        <v>488.36672999999996</v>
      </c>
      <c r="K217" s="9"/>
      <c r="L217" s="7">
        <f>VLOOKUP($C217,'ASDR FY1'!$A:$X,L$15,FALSE)/1000</f>
        <v>-97.673339999999996</v>
      </c>
      <c r="M217" s="9"/>
      <c r="N217" s="7">
        <f>VLOOKUP($C217,'ASDR FY1'!$A:$X,N$14,FALSE)/1000+VLOOKUP($C217,'ASDR FY1'!$A:$X,N$15,FALSE)/1000</f>
        <v>0</v>
      </c>
      <c r="O217" s="8"/>
      <c r="P217" s="7">
        <f>SUM(H217,J217,L217,N217)</f>
        <v>38711.529969999981</v>
      </c>
      <c r="Q217" s="9"/>
      <c r="R217" s="7">
        <f>VLOOKUP($C217,'ASDR FY1'!$A:$X,R$15,FALSE)/1000</f>
        <v>38408.525409999995</v>
      </c>
    </row>
    <row r="218" spans="1:18" x14ac:dyDescent="0.25">
      <c r="A218" s="115">
        <f t="shared" si="3"/>
        <v>31</v>
      </c>
      <c r="C218" s="113">
        <v>34583</v>
      </c>
      <c r="D218" s="110" t="s">
        <v>48</v>
      </c>
      <c r="F218" s="125">
        <f>VLOOKUP($C218,'ASDR FY1'!$A:$X,F$15,FALSE)*100</f>
        <v>3.8</v>
      </c>
      <c r="G218" s="112"/>
      <c r="H218" s="7">
        <f>VLOOKUP($C218,'ASDR FY1'!$A:$X,H$15,FALSE)/1000</f>
        <v>9146.6915499999996</v>
      </c>
      <c r="I218" s="8"/>
      <c r="J218" s="7">
        <f>VLOOKUP($C218,'ASDR FY1'!$A:$X,J$15,FALSE)/1000</f>
        <v>0</v>
      </c>
      <c r="K218" s="9"/>
      <c r="L218" s="7">
        <f>VLOOKUP($C218,'ASDR FY1'!$A:$X,L$15,FALSE)/1000</f>
        <v>0</v>
      </c>
      <c r="M218" s="9"/>
      <c r="N218" s="7">
        <f>VLOOKUP($C218,'ASDR FY1'!$A:$X,N$14,FALSE)/1000+VLOOKUP($C218,'ASDR FY1'!$A:$X,N$15,FALSE)/1000</f>
        <v>0</v>
      </c>
      <c r="O218" s="8"/>
      <c r="P218" s="7">
        <f>SUM(H218,J218,L218,N218)</f>
        <v>9146.6915499999996</v>
      </c>
      <c r="Q218" s="9"/>
      <c r="R218" s="7">
        <f>VLOOKUP($C218,'ASDR FY1'!$A:$X,R$15,FALSE)/1000</f>
        <v>9146.6915500000014</v>
      </c>
    </row>
    <row r="219" spans="1:18" x14ac:dyDescent="0.25">
      <c r="A219" s="115">
        <f t="shared" si="3"/>
        <v>32</v>
      </c>
      <c r="C219" s="113">
        <v>34683</v>
      </c>
      <c r="D219" s="110" t="s">
        <v>49</v>
      </c>
      <c r="F219" s="125">
        <f>VLOOKUP($C219,'ASDR FY1'!$A:$X,F$15,FALSE)*100</f>
        <v>2.1999999999999997</v>
      </c>
      <c r="G219" s="112"/>
      <c r="H219" s="7">
        <f>VLOOKUP($C219,'ASDR FY1'!$A:$X,H$15,FALSE)/1000</f>
        <v>432.91041999999999</v>
      </c>
      <c r="I219" s="8"/>
      <c r="J219" s="7">
        <f>VLOOKUP($C219,'ASDR FY1'!$A:$X,J$15,FALSE)/1000</f>
        <v>0</v>
      </c>
      <c r="K219" s="9"/>
      <c r="L219" s="7">
        <f>VLOOKUP($C219,'ASDR FY1'!$A:$X,L$15,FALSE)/1000</f>
        <v>0</v>
      </c>
      <c r="M219" s="9"/>
      <c r="N219" s="7">
        <f>VLOOKUP($C219,'ASDR FY1'!$A:$X,N$14,FALSE)/1000+VLOOKUP($C219,'ASDR FY1'!$A:$X,N$15,FALSE)/1000</f>
        <v>0</v>
      </c>
      <c r="O219" s="8"/>
      <c r="P219" s="7">
        <f>SUM(H219,J219,L219,N219)</f>
        <v>432.91041999999999</v>
      </c>
      <c r="Q219" s="9"/>
      <c r="R219" s="7">
        <f>VLOOKUP($C219,'ASDR FY1'!$A:$X,R$15,FALSE)/1000</f>
        <v>432.91041999999999</v>
      </c>
    </row>
    <row r="220" spans="1:18" x14ac:dyDescent="0.25">
      <c r="A220" s="115">
        <f t="shared" si="3"/>
        <v>33</v>
      </c>
      <c r="D220" s="136" t="s">
        <v>98</v>
      </c>
      <c r="F220" s="125"/>
      <c r="H220" s="11">
        <f>SUM(H215:H219)</f>
        <v>60065.512859999988</v>
      </c>
      <c r="I220" s="14"/>
      <c r="J220" s="11">
        <f>SUM(J215:J219)</f>
        <v>976.73345999999992</v>
      </c>
      <c r="K220" s="14"/>
      <c r="L220" s="11">
        <f>SUM(L215:L219)</f>
        <v>-195.34667999999999</v>
      </c>
      <c r="M220" s="14"/>
      <c r="N220" s="11">
        <f>SUM(N215:N219)</f>
        <v>0</v>
      </c>
      <c r="O220" s="14"/>
      <c r="P220" s="11">
        <f>SUM(P215:P219)</f>
        <v>60846.899639999989</v>
      </c>
      <c r="Q220" s="14"/>
      <c r="R220" s="11">
        <f>SUM(R215:R219)</f>
        <v>60240.890520000001</v>
      </c>
    </row>
    <row r="221" spans="1:18" x14ac:dyDescent="0.25">
      <c r="A221" s="115">
        <f t="shared" si="3"/>
        <v>34</v>
      </c>
      <c r="F221" s="126"/>
      <c r="I221" s="14"/>
      <c r="K221" s="14"/>
      <c r="M221" s="14"/>
      <c r="O221" s="14"/>
      <c r="Q221" s="14"/>
    </row>
    <row r="222" spans="1:18" x14ac:dyDescent="0.25">
      <c r="A222" s="115">
        <f t="shared" si="3"/>
        <v>35</v>
      </c>
      <c r="C222" s="115"/>
      <c r="D222" s="136" t="s">
        <v>99</v>
      </c>
      <c r="F222" s="125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</row>
    <row r="223" spans="1:18" x14ac:dyDescent="0.25">
      <c r="A223" s="115">
        <f t="shared" si="3"/>
        <v>36</v>
      </c>
      <c r="C223" s="113">
        <v>34184</v>
      </c>
      <c r="D223" s="110" t="s">
        <v>45</v>
      </c>
      <c r="F223" s="125">
        <f>VLOOKUP($C223,'ASDR FY1'!$A:$X,F$15,FALSE)*100</f>
        <v>2.7</v>
      </c>
      <c r="G223" s="112"/>
      <c r="H223" s="7">
        <f>VLOOKUP($C223,'ASDR FY1'!$A:$X,H$15,FALSE)/1000</f>
        <v>5812.0621499999997</v>
      </c>
      <c r="I223" s="8"/>
      <c r="J223" s="7">
        <f>VLOOKUP($C223,'ASDR FY1'!$A:$X,J$15,FALSE)/1000</f>
        <v>0</v>
      </c>
      <c r="K223" s="9"/>
      <c r="L223" s="7">
        <f>VLOOKUP($C223,'ASDR FY1'!$A:$X,L$15,FALSE)/1000</f>
        <v>0</v>
      </c>
      <c r="M223" s="9"/>
      <c r="N223" s="7">
        <f>VLOOKUP($C223,'ASDR FY1'!$A:$X,N$14,FALSE)/1000+VLOOKUP($C223,'ASDR FY1'!$A:$X,N$15,FALSE)/1000</f>
        <v>0</v>
      </c>
      <c r="O223" s="8"/>
      <c r="P223" s="7">
        <f>SUM(H223,J223,L223,N223)</f>
        <v>5812.0621499999997</v>
      </c>
      <c r="Q223" s="9"/>
      <c r="R223" s="7">
        <f>VLOOKUP($C223,'ASDR FY1'!$A:$X,R$15,FALSE)/1000</f>
        <v>5812.0621500000007</v>
      </c>
    </row>
    <row r="224" spans="1:18" x14ac:dyDescent="0.25">
      <c r="A224" s="115">
        <f t="shared" si="3"/>
        <v>37</v>
      </c>
      <c r="C224" s="113">
        <v>34284</v>
      </c>
      <c r="D224" s="110" t="s">
        <v>81</v>
      </c>
      <c r="F224" s="125">
        <f>VLOOKUP($C224,'ASDR FY1'!$A:$X,F$15,FALSE)*100</f>
        <v>2.8000000000000003</v>
      </c>
      <c r="G224" s="112"/>
      <c r="H224" s="7">
        <f>VLOOKUP($C224,'ASDR FY1'!$A:$X,H$15,FALSE)/1000</f>
        <v>2286.7316099999994</v>
      </c>
      <c r="I224" s="8"/>
      <c r="J224" s="7">
        <f>VLOOKUP($C224,'ASDR FY1'!$A:$X,J$15,FALSE)/1000</f>
        <v>529.91744999999992</v>
      </c>
      <c r="K224" s="9"/>
      <c r="L224" s="7">
        <f>VLOOKUP($C224,'ASDR FY1'!$A:$X,L$15,FALSE)/1000</f>
        <v>-105.98349</v>
      </c>
      <c r="M224" s="9"/>
      <c r="N224" s="7">
        <f>VLOOKUP($C224,'ASDR FY1'!$A:$X,N$14,FALSE)/1000+VLOOKUP($C224,'ASDR FY1'!$A:$X,N$15,FALSE)/1000</f>
        <v>0</v>
      </c>
      <c r="O224" s="8"/>
      <c r="P224" s="7">
        <f>SUM(H224,J224,L224,N224)</f>
        <v>2710.6655699999992</v>
      </c>
      <c r="Q224" s="9"/>
      <c r="R224" s="7">
        <f>VLOOKUP($C224,'ASDR FY1'!$A:$X,R$15,FALSE)/1000</f>
        <v>2399.9430600000001</v>
      </c>
    </row>
    <row r="225" spans="1:18" x14ac:dyDescent="0.25">
      <c r="A225" s="115">
        <f t="shared" si="3"/>
        <v>38</v>
      </c>
      <c r="C225" s="113">
        <v>34384</v>
      </c>
      <c r="D225" s="110" t="s">
        <v>82</v>
      </c>
      <c r="F225" s="125">
        <f>VLOOKUP($C225,'ASDR FY1'!$A:$X,F$15,FALSE)*100</f>
        <v>4.7</v>
      </c>
      <c r="G225" s="112"/>
      <c r="H225" s="7">
        <f>VLOOKUP($C225,'ASDR FY1'!$A:$X,H$15,FALSE)/1000</f>
        <v>28306.281440000002</v>
      </c>
      <c r="I225" s="8"/>
      <c r="J225" s="7">
        <f>VLOOKUP($C225,'ASDR FY1'!$A:$X,J$15,FALSE)/1000</f>
        <v>529.91744999999992</v>
      </c>
      <c r="K225" s="9"/>
      <c r="L225" s="7">
        <f>VLOOKUP($C225,'ASDR FY1'!$A:$X,L$15,FALSE)/1000</f>
        <v>-105.98349</v>
      </c>
      <c r="M225" s="9"/>
      <c r="N225" s="7">
        <f>VLOOKUP($C225,'ASDR FY1'!$A:$X,N$14,FALSE)/1000+VLOOKUP($C225,'ASDR FY1'!$A:$X,N$15,FALSE)/1000</f>
        <v>0</v>
      </c>
      <c r="O225" s="8"/>
      <c r="P225" s="7">
        <f>SUM(H225,J225,L225,N225)</f>
        <v>28730.215400000005</v>
      </c>
      <c r="Q225" s="9"/>
      <c r="R225" s="7">
        <f>VLOOKUP($C225,'ASDR FY1'!$A:$X,R$15,FALSE)/1000</f>
        <v>28419.492890000001</v>
      </c>
    </row>
    <row r="226" spans="1:18" x14ac:dyDescent="0.25">
      <c r="A226" s="115">
        <f t="shared" si="3"/>
        <v>39</v>
      </c>
      <c r="C226" s="113">
        <v>34584</v>
      </c>
      <c r="D226" s="110" t="s">
        <v>48</v>
      </c>
      <c r="F226" s="125">
        <f>VLOOKUP($C226,'ASDR FY1'!$A:$X,F$15,FALSE)*100</f>
        <v>2.5</v>
      </c>
      <c r="G226" s="112"/>
      <c r="H226" s="7">
        <f>VLOOKUP($C226,'ASDR FY1'!$A:$X,H$15,FALSE)/1000</f>
        <v>5586.7474299999994</v>
      </c>
      <c r="I226" s="8"/>
      <c r="J226" s="7">
        <f>VLOOKUP($C226,'ASDR FY1'!$A:$X,J$15,FALSE)/1000</f>
        <v>0</v>
      </c>
      <c r="K226" s="9"/>
      <c r="L226" s="7">
        <f>VLOOKUP($C226,'ASDR FY1'!$A:$X,L$15,FALSE)/1000</f>
        <v>0</v>
      </c>
      <c r="M226" s="9"/>
      <c r="N226" s="7">
        <f>VLOOKUP($C226,'ASDR FY1'!$A:$X,N$14,FALSE)/1000+VLOOKUP($C226,'ASDR FY1'!$A:$X,N$15,FALSE)/1000</f>
        <v>0</v>
      </c>
      <c r="O226" s="8"/>
      <c r="P226" s="7">
        <f>SUM(H226,J226,L226,N226)</f>
        <v>5586.7474299999994</v>
      </c>
      <c r="Q226" s="9"/>
      <c r="R226" s="7">
        <f>VLOOKUP($C226,'ASDR FY1'!$A:$X,R$15,FALSE)/1000</f>
        <v>5586.7474299999994</v>
      </c>
    </row>
    <row r="227" spans="1:18" x14ac:dyDescent="0.25">
      <c r="A227" s="115">
        <f t="shared" si="3"/>
        <v>40</v>
      </c>
      <c r="C227" s="113">
        <v>34684</v>
      </c>
      <c r="D227" s="110" t="s">
        <v>49</v>
      </c>
      <c r="F227" s="125">
        <f>VLOOKUP($C227,'ASDR FY1'!$A:$X,F$15,FALSE)*100</f>
        <v>3.5999999999999996</v>
      </c>
      <c r="G227" s="112"/>
      <c r="H227" s="7">
        <f>VLOOKUP($C227,'ASDR FY1'!$A:$X,H$15,FALSE)/1000</f>
        <v>0</v>
      </c>
      <c r="I227" s="8"/>
      <c r="J227" s="7">
        <f>VLOOKUP($C227,'ASDR FY1'!$A:$X,J$15,FALSE)/1000</f>
        <v>0</v>
      </c>
      <c r="K227" s="9"/>
      <c r="L227" s="7">
        <f>VLOOKUP($C227,'ASDR FY1'!$A:$X,L$15,FALSE)/1000</f>
        <v>0</v>
      </c>
      <c r="M227" s="9"/>
      <c r="N227" s="7">
        <f>VLOOKUP($C227,'ASDR FY1'!$A:$X,N$14,FALSE)/1000+VLOOKUP($C227,'ASDR FY1'!$A:$X,N$15,FALSE)/1000</f>
        <v>0</v>
      </c>
      <c r="O227" s="8"/>
      <c r="P227" s="7">
        <f>SUM(H227,J227,L227,N227)</f>
        <v>0</v>
      </c>
      <c r="Q227" s="9"/>
      <c r="R227" s="7">
        <f>VLOOKUP($C227,'ASDR FY1'!$A:$X,R$15,FALSE)/1000</f>
        <v>0</v>
      </c>
    </row>
    <row r="228" spans="1:18" x14ac:dyDescent="0.25">
      <c r="A228" s="115">
        <f t="shared" si="3"/>
        <v>41</v>
      </c>
      <c r="C228" s="115"/>
      <c r="D228" s="136" t="s">
        <v>100</v>
      </c>
      <c r="F228" s="130"/>
      <c r="H228" s="11">
        <f>SUM(H223:H227)</f>
        <v>41991.822629999995</v>
      </c>
      <c r="I228" s="14"/>
      <c r="J228" s="11">
        <f>SUM(J223:J227)</f>
        <v>1059.8348999999998</v>
      </c>
      <c r="K228" s="14"/>
      <c r="L228" s="11">
        <f>SUM(L223:L227)</f>
        <v>-211.96698000000001</v>
      </c>
      <c r="M228" s="14"/>
      <c r="N228" s="11">
        <f>SUM(N223:N227)</f>
        <v>0</v>
      </c>
      <c r="O228" s="14"/>
      <c r="P228" s="11">
        <f>SUM(P223:P227)</f>
        <v>42839.690549999999</v>
      </c>
      <c r="Q228" s="14"/>
      <c r="R228" s="11">
        <f>SUM(R223:R227)</f>
        <v>42218.24553</v>
      </c>
    </row>
    <row r="229" spans="1:18" x14ac:dyDescent="0.25">
      <c r="A229" s="115">
        <f t="shared" si="3"/>
        <v>42</v>
      </c>
      <c r="O229" s="112"/>
    </row>
    <row r="230" spans="1:18" x14ac:dyDescent="0.25">
      <c r="A230" s="115">
        <f t="shared" si="3"/>
        <v>43</v>
      </c>
      <c r="O230" s="112"/>
    </row>
    <row r="231" spans="1:18" ht="13.8" thickBot="1" x14ac:dyDescent="0.3">
      <c r="A231" s="116">
        <f t="shared" si="3"/>
        <v>44</v>
      </c>
      <c r="B231" s="19" t="s">
        <v>59</v>
      </c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31"/>
      <c r="P231" s="109"/>
      <c r="Q231" s="109"/>
      <c r="R231" s="109"/>
    </row>
    <row r="232" spans="1:18" x14ac:dyDescent="0.25">
      <c r="A232" s="110" t="str">
        <f>$A$58</f>
        <v>Supporting Schedules:  B-08, B-11</v>
      </c>
      <c r="O232" s="112"/>
      <c r="P232" s="110" t="str">
        <f>$P$58</f>
        <v>Recap Schedules:  B-03, B-06</v>
      </c>
    </row>
    <row r="233" spans="1:18" ht="13.8" thickBot="1" x14ac:dyDescent="0.3">
      <c r="A233" s="109" t="str">
        <f>$A$1</f>
        <v>SCHEDULE B-07</v>
      </c>
      <c r="B233" s="109"/>
      <c r="C233" s="109"/>
      <c r="D233" s="109"/>
      <c r="E233" s="109"/>
      <c r="F233" s="109"/>
      <c r="G233" s="109" t="str">
        <f>$G$1</f>
        <v>PLANT BALANCES BY ACCOUNT AND SUB-ACCOUNT</v>
      </c>
      <c r="H233" s="109"/>
      <c r="I233" s="109"/>
      <c r="J233" s="109"/>
      <c r="K233" s="109"/>
      <c r="L233" s="109"/>
      <c r="M233" s="109"/>
      <c r="N233" s="109"/>
      <c r="O233" s="131"/>
      <c r="P233" s="109"/>
      <c r="Q233" s="109"/>
      <c r="R233" s="109" t="str">
        <f>"Page 15 of " &amp; $P$1</f>
        <v>Page 15 of 30</v>
      </c>
    </row>
    <row r="234" spans="1:18" x14ac:dyDescent="0.25">
      <c r="A234" s="110" t="str">
        <f>$A$2</f>
        <v>FLORIDA PUBLIC SERVICE COMMISSION</v>
      </c>
      <c r="B234" s="132"/>
      <c r="E234" s="112" t="str">
        <f>$E$2</f>
        <v xml:space="preserve">                  EXPLANATION:</v>
      </c>
      <c r="F234" s="110" t="str">
        <f>IF($F$2="","",$F$2)</f>
        <v>Provide the depreciation rate and plant balances for each account or sub-account to which</v>
      </c>
      <c r="J234" s="133"/>
      <c r="K234" s="133"/>
      <c r="M234" s="133"/>
      <c r="N234" s="133"/>
      <c r="O234" s="134"/>
      <c r="P234" s="110" t="str">
        <f>$P$2</f>
        <v>Type of data shown:</v>
      </c>
      <c r="R234" s="111"/>
    </row>
    <row r="235" spans="1:18" x14ac:dyDescent="0.25">
      <c r="B235" s="132"/>
      <c r="F235" s="110" t="str">
        <f>IF($F$3="","",$F$3)</f>
        <v>a separate depreciation rate is prescribed. (Include Amortization/Recovery schedule amounts).</v>
      </c>
      <c r="J235" s="112"/>
      <c r="K235" s="111"/>
      <c r="N235" s="112"/>
      <c r="O235" s="112" t="str">
        <f>IF($O$3=0,"",$O$3)</f>
        <v/>
      </c>
      <c r="P235" s="111" t="str">
        <f>$P$3</f>
        <v>Projected Test Year Ended 12/31/2025</v>
      </c>
      <c r="R235" s="112"/>
    </row>
    <row r="236" spans="1:18" x14ac:dyDescent="0.25">
      <c r="A236" s="110" t="str">
        <f>$A$4</f>
        <v>COMPANY: TAMPA ELECTRIC COMPANY</v>
      </c>
      <c r="B236" s="132"/>
      <c r="F236" s="110" t="str">
        <f>IF(+$F$4="","",$F$4)</f>
        <v/>
      </c>
      <c r="J236" s="112"/>
      <c r="K236" s="111"/>
      <c r="L236" s="112"/>
      <c r="O236" s="112" t="str">
        <f>IF($O$4=0,"",$O$4)</f>
        <v>XX</v>
      </c>
      <c r="P236" s="111" t="str">
        <f>$P$4</f>
        <v>Projected Prior Year Ended 12/31/2024</v>
      </c>
      <c r="R236" s="112"/>
    </row>
    <row r="237" spans="1:18" x14ac:dyDescent="0.25">
      <c r="B237" s="132"/>
      <c r="F237" s="110" t="str">
        <f>IF(+$F$5="","",$F$5)</f>
        <v/>
      </c>
      <c r="J237" s="112"/>
      <c r="K237" s="111"/>
      <c r="L237" s="112"/>
      <c r="O237" s="112" t="str">
        <f>IF($O$5=0,"",$O$5)</f>
        <v/>
      </c>
      <c r="P237" s="111" t="str">
        <f>$P$5</f>
        <v>Historical Prior Year Ended 12/31/2023</v>
      </c>
      <c r="R237" s="112"/>
    </row>
    <row r="238" spans="1:18" x14ac:dyDescent="0.25">
      <c r="J238" s="112"/>
      <c r="K238" s="111"/>
      <c r="L238" s="112"/>
      <c r="O238" s="112"/>
      <c r="P238" s="160" t="s">
        <v>573</v>
      </c>
      <c r="R238" s="112"/>
    </row>
    <row r="239" spans="1:18" x14ac:dyDescent="0.25">
      <c r="J239" s="112"/>
      <c r="K239" s="111"/>
      <c r="L239" s="112"/>
      <c r="O239" s="112"/>
      <c r="P239" s="160" t="s">
        <v>574</v>
      </c>
      <c r="R239" s="112"/>
    </row>
    <row r="240" spans="1:18" ht="13.8" thickBot="1" x14ac:dyDescent="0.3">
      <c r="A240" s="157" t="s">
        <v>572</v>
      </c>
      <c r="B240" s="109"/>
      <c r="C240" s="109"/>
      <c r="D240" s="109"/>
      <c r="E240" s="109"/>
      <c r="F240" s="109"/>
      <c r="G240" s="109"/>
      <c r="H240" s="116" t="s">
        <v>12</v>
      </c>
      <c r="I240" s="109"/>
      <c r="J240" s="109"/>
      <c r="K240" s="109"/>
      <c r="L240" s="109"/>
      <c r="M240" s="109"/>
      <c r="N240" s="109"/>
      <c r="O240" s="131"/>
      <c r="P240" s="161" t="s">
        <v>575</v>
      </c>
      <c r="Q240" s="109"/>
      <c r="R240" s="109"/>
    </row>
    <row r="241" spans="1:18" x14ac:dyDescent="0.25"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4"/>
      <c r="P241" s="113"/>
      <c r="Q241" s="113"/>
      <c r="R241" s="113"/>
    </row>
    <row r="242" spans="1:18" x14ac:dyDescent="0.25">
      <c r="C242" s="113" t="s">
        <v>13</v>
      </c>
      <c r="D242" s="113" t="s">
        <v>14</v>
      </c>
      <c r="E242" s="113"/>
      <c r="F242" s="113" t="s">
        <v>15</v>
      </c>
      <c r="G242" s="113"/>
      <c r="H242" s="113" t="s">
        <v>16</v>
      </c>
      <c r="I242" s="113"/>
      <c r="J242" s="115" t="s">
        <v>17</v>
      </c>
      <c r="K242" s="115"/>
      <c r="L242" s="113" t="s">
        <v>18</v>
      </c>
      <c r="M242" s="113"/>
      <c r="N242" s="113" t="s">
        <v>19</v>
      </c>
      <c r="O242" s="114"/>
      <c r="P242" s="113" t="s">
        <v>20</v>
      </c>
      <c r="Q242" s="113"/>
      <c r="R242" s="113" t="s">
        <v>21</v>
      </c>
    </row>
    <row r="243" spans="1:18" x14ac:dyDescent="0.25">
      <c r="C243" s="115" t="s">
        <v>22</v>
      </c>
      <c r="D243" s="115" t="s">
        <v>22</v>
      </c>
      <c r="F243" s="115" t="s">
        <v>23</v>
      </c>
      <c r="G243" s="115"/>
      <c r="H243" s="113" t="s">
        <v>24</v>
      </c>
      <c r="I243" s="115"/>
      <c r="J243" s="113" t="s">
        <v>25</v>
      </c>
      <c r="K243" s="115"/>
      <c r="L243" s="115" t="s">
        <v>25</v>
      </c>
      <c r="M243" s="115"/>
      <c r="O243" s="112"/>
      <c r="P243" s="115" t="s">
        <v>24</v>
      </c>
      <c r="R243" s="115"/>
    </row>
    <row r="244" spans="1:18" x14ac:dyDescent="0.25">
      <c r="A244" s="115" t="s">
        <v>26</v>
      </c>
      <c r="B244" s="115"/>
      <c r="C244" s="115" t="s">
        <v>27</v>
      </c>
      <c r="D244" s="115" t="s">
        <v>27</v>
      </c>
      <c r="E244" s="113"/>
      <c r="F244" s="115" t="s">
        <v>28</v>
      </c>
      <c r="G244" s="115"/>
      <c r="H244" s="115" t="s">
        <v>29</v>
      </c>
      <c r="I244" s="115"/>
      <c r="J244" s="115" t="s">
        <v>24</v>
      </c>
      <c r="K244" s="113"/>
      <c r="L244" s="115" t="s">
        <v>24</v>
      </c>
      <c r="M244" s="111"/>
      <c r="N244" s="115" t="s">
        <v>30</v>
      </c>
      <c r="O244" s="114"/>
      <c r="P244" s="113" t="s">
        <v>29</v>
      </c>
      <c r="Q244" s="113"/>
      <c r="R244" s="115" t="s">
        <v>31</v>
      </c>
    </row>
    <row r="245" spans="1:18" ht="13.8" thickBot="1" x14ac:dyDescent="0.3">
      <c r="A245" s="116" t="s">
        <v>32</v>
      </c>
      <c r="B245" s="116"/>
      <c r="C245" s="116" t="s">
        <v>33</v>
      </c>
      <c r="D245" s="116" t="s">
        <v>34</v>
      </c>
      <c r="E245" s="116"/>
      <c r="F245" s="117" t="s">
        <v>35</v>
      </c>
      <c r="G245" s="117"/>
      <c r="H245" s="117" t="s">
        <v>36</v>
      </c>
      <c r="I245" s="118"/>
      <c r="J245" s="117" t="s">
        <v>37</v>
      </c>
      <c r="K245" s="118"/>
      <c r="L245" s="118" t="s">
        <v>38</v>
      </c>
      <c r="M245" s="119"/>
      <c r="N245" s="119" t="s">
        <v>39</v>
      </c>
      <c r="O245" s="120"/>
      <c r="P245" s="119" t="s">
        <v>40</v>
      </c>
      <c r="Q245" s="119"/>
      <c r="R245" s="119" t="s">
        <v>41</v>
      </c>
    </row>
    <row r="246" spans="1:18" x14ac:dyDescent="0.25">
      <c r="A246" s="115">
        <v>1</v>
      </c>
      <c r="B246" s="115"/>
      <c r="O246" s="112"/>
    </row>
    <row r="247" spans="1:18" x14ac:dyDescent="0.25">
      <c r="A247" s="115">
        <f>A246+1</f>
        <v>2</v>
      </c>
      <c r="B247" s="121"/>
      <c r="C247" s="115"/>
      <c r="D247" s="136" t="s">
        <v>101</v>
      </c>
      <c r="F247" s="130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</row>
    <row r="248" spans="1:18" x14ac:dyDescent="0.25">
      <c r="A248" s="115">
        <f t="shared" ref="A248:A289" si="4">A247+1</f>
        <v>3</v>
      </c>
      <c r="B248" s="121"/>
      <c r="C248" s="113">
        <v>34185</v>
      </c>
      <c r="D248" s="110" t="s">
        <v>45</v>
      </c>
      <c r="F248" s="125">
        <f>VLOOKUP($C248,'ASDR FY1'!$A:$X,F$15,FALSE)*100</f>
        <v>2.7</v>
      </c>
      <c r="G248" s="112"/>
      <c r="H248" s="7">
        <f>VLOOKUP($C248,'ASDR FY1'!$A:$X,H$15,FALSE)/1000</f>
        <v>5746.5801100000008</v>
      </c>
      <c r="I248" s="8"/>
      <c r="J248" s="7">
        <f>VLOOKUP($C248,'ASDR FY1'!$A:$X,J$15,FALSE)/1000</f>
        <v>0</v>
      </c>
      <c r="K248" s="9"/>
      <c r="L248" s="7">
        <f>VLOOKUP($C248,'ASDR FY1'!$A:$X,L$15,FALSE)/1000</f>
        <v>0</v>
      </c>
      <c r="M248" s="9"/>
      <c r="N248" s="7">
        <f>VLOOKUP($C248,'ASDR FY1'!$A:$X,N$14,FALSE)/1000+VLOOKUP($C248,'ASDR FY1'!$A:$X,N$15,FALSE)/1000</f>
        <v>0</v>
      </c>
      <c r="O248" s="8"/>
      <c r="P248" s="7">
        <f>SUM(H248,J248,L248,N248)</f>
        <v>5746.5801100000008</v>
      </c>
      <c r="Q248" s="9"/>
      <c r="R248" s="7">
        <f>VLOOKUP($C248,'ASDR FY1'!$A:$X,R$15,FALSE)/1000</f>
        <v>5746.5801100000008</v>
      </c>
    </row>
    <row r="249" spans="1:18" x14ac:dyDescent="0.25">
      <c r="A249" s="115">
        <f t="shared" si="4"/>
        <v>4</v>
      </c>
      <c r="B249" s="121"/>
      <c r="C249" s="113">
        <v>34285</v>
      </c>
      <c r="D249" s="110" t="s">
        <v>81</v>
      </c>
      <c r="F249" s="125">
        <f>VLOOKUP($C249,'ASDR FY1'!$A:$X,F$15,FALSE)*100</f>
        <v>3.6999999999999997</v>
      </c>
      <c r="G249" s="112"/>
      <c r="H249" s="7">
        <f>VLOOKUP($C249,'ASDR FY1'!$A:$X,H$15,FALSE)/1000</f>
        <v>2657.3530100000007</v>
      </c>
      <c r="I249" s="8"/>
      <c r="J249" s="7">
        <f>VLOOKUP($C249,'ASDR FY1'!$A:$X,J$15,FALSE)/1000</f>
        <v>542.00149999999996</v>
      </c>
      <c r="K249" s="9"/>
      <c r="L249" s="7">
        <f>VLOOKUP($C249,'ASDR FY1'!$A:$X,L$15,FALSE)/1000</f>
        <v>-108.4003</v>
      </c>
      <c r="M249" s="9"/>
      <c r="N249" s="7">
        <f>VLOOKUP($C249,'ASDR FY1'!$A:$X,N$14,FALSE)/1000+VLOOKUP($C249,'ASDR FY1'!$A:$X,N$15,FALSE)/1000</f>
        <v>0</v>
      </c>
      <c r="O249" s="8"/>
      <c r="P249" s="7">
        <f>SUM(H249,J249,L249,N249)</f>
        <v>3090.9542100000008</v>
      </c>
      <c r="Q249" s="9"/>
      <c r="R249" s="7">
        <f>VLOOKUP($C249,'ASDR FY1'!$A:$X,R$15,FALSE)/1000</f>
        <v>2776.7357499999998</v>
      </c>
    </row>
    <row r="250" spans="1:18" x14ac:dyDescent="0.25">
      <c r="A250" s="115">
        <f t="shared" si="4"/>
        <v>5</v>
      </c>
      <c r="B250" s="121"/>
      <c r="C250" s="113">
        <v>34385</v>
      </c>
      <c r="D250" s="110" t="s">
        <v>82</v>
      </c>
      <c r="F250" s="125">
        <f>VLOOKUP($C250,'ASDR FY1'!$A:$X,F$15,FALSE)*100</f>
        <v>5</v>
      </c>
      <c r="G250" s="112"/>
      <c r="H250" s="7">
        <f>VLOOKUP($C250,'ASDR FY1'!$A:$X,H$15,FALSE)/1000</f>
        <v>25103.996219999994</v>
      </c>
      <c r="I250" s="8"/>
      <c r="J250" s="7">
        <f>VLOOKUP($C250,'ASDR FY1'!$A:$X,J$15,FALSE)/1000</f>
        <v>542.00149999999996</v>
      </c>
      <c r="K250" s="9"/>
      <c r="L250" s="7">
        <f>VLOOKUP($C250,'ASDR FY1'!$A:$X,L$15,FALSE)/1000</f>
        <v>-108.4003</v>
      </c>
      <c r="M250" s="9"/>
      <c r="N250" s="7">
        <f>VLOOKUP($C250,'ASDR FY1'!$A:$X,N$14,FALSE)/1000+VLOOKUP($C250,'ASDR FY1'!$A:$X,N$15,FALSE)/1000</f>
        <v>0</v>
      </c>
      <c r="O250" s="8"/>
      <c r="P250" s="7">
        <f>SUM(H250,J250,L250,N250)</f>
        <v>25537.597419999991</v>
      </c>
      <c r="Q250" s="9"/>
      <c r="R250" s="7">
        <f>VLOOKUP($C250,'ASDR FY1'!$A:$X,R$15,FALSE)/1000</f>
        <v>25223.378960000002</v>
      </c>
    </row>
    <row r="251" spans="1:18" x14ac:dyDescent="0.25">
      <c r="A251" s="115">
        <f t="shared" si="4"/>
        <v>6</v>
      </c>
      <c r="B251" s="121"/>
      <c r="C251" s="113">
        <v>34585</v>
      </c>
      <c r="D251" s="110" t="s">
        <v>48</v>
      </c>
      <c r="F251" s="125">
        <f>VLOOKUP($C251,'ASDR FY1'!$A:$X,F$15,FALSE)*100</f>
        <v>2.6</v>
      </c>
      <c r="G251" s="112"/>
      <c r="H251" s="7">
        <f>VLOOKUP($C251,'ASDR FY1'!$A:$X,H$15,FALSE)/1000</f>
        <v>5489.2689800000016</v>
      </c>
      <c r="I251" s="8"/>
      <c r="J251" s="7">
        <f>VLOOKUP($C251,'ASDR FY1'!$A:$X,J$15,FALSE)/1000</f>
        <v>0</v>
      </c>
      <c r="K251" s="9"/>
      <c r="L251" s="7">
        <f>VLOOKUP($C251,'ASDR FY1'!$A:$X,L$15,FALSE)/1000</f>
        <v>0</v>
      </c>
      <c r="M251" s="9"/>
      <c r="N251" s="7">
        <f>VLOOKUP($C251,'ASDR FY1'!$A:$X,N$14,FALSE)/1000+VLOOKUP($C251,'ASDR FY1'!$A:$X,N$15,FALSE)/1000</f>
        <v>0</v>
      </c>
      <c r="O251" s="8"/>
      <c r="P251" s="7">
        <f>SUM(H251,J251,L251,N251)</f>
        <v>5489.2689800000016</v>
      </c>
      <c r="Q251" s="9"/>
      <c r="R251" s="7">
        <f>VLOOKUP($C251,'ASDR FY1'!$A:$X,R$15,FALSE)/1000</f>
        <v>5489.2689800000007</v>
      </c>
    </row>
    <row r="252" spans="1:18" x14ac:dyDescent="0.25">
      <c r="A252" s="115">
        <f t="shared" si="4"/>
        <v>7</v>
      </c>
      <c r="B252" s="115"/>
      <c r="C252" s="113">
        <v>34685</v>
      </c>
      <c r="D252" s="110" t="s">
        <v>49</v>
      </c>
      <c r="F252" s="125">
        <f>VLOOKUP($C252,'ASDR FY1'!$A:$X,F$15,FALSE)*100</f>
        <v>3.5999999999999996</v>
      </c>
      <c r="G252" s="112"/>
      <c r="H252" s="7">
        <f>VLOOKUP($C252,'ASDR FY1'!$A:$X,H$15,FALSE)/1000</f>
        <v>0</v>
      </c>
      <c r="I252" s="8"/>
      <c r="J252" s="7">
        <f>VLOOKUP($C252,'ASDR FY1'!$A:$X,J$15,FALSE)/1000</f>
        <v>0</v>
      </c>
      <c r="K252" s="9"/>
      <c r="L252" s="7">
        <f>VLOOKUP($C252,'ASDR FY1'!$A:$X,L$15,FALSE)/1000</f>
        <v>0</v>
      </c>
      <c r="M252" s="9"/>
      <c r="N252" s="7">
        <f>VLOOKUP($C252,'ASDR FY1'!$A:$X,N$14,FALSE)/1000+VLOOKUP($C252,'ASDR FY1'!$A:$X,N$15,FALSE)/1000</f>
        <v>0</v>
      </c>
      <c r="O252" s="8"/>
      <c r="P252" s="7">
        <f>SUM(H252,J252,L252,N252)</f>
        <v>0</v>
      </c>
      <c r="Q252" s="9"/>
      <c r="R252" s="7">
        <f>VLOOKUP($C252,'ASDR FY1'!$A:$X,R$15,FALSE)/1000</f>
        <v>0</v>
      </c>
    </row>
    <row r="253" spans="1:18" x14ac:dyDescent="0.25">
      <c r="A253" s="115">
        <f t="shared" si="4"/>
        <v>8</v>
      </c>
      <c r="B253" s="115"/>
      <c r="C253" s="115"/>
      <c r="D253" s="136" t="s">
        <v>102</v>
      </c>
      <c r="F253" s="125"/>
      <c r="H253" s="11">
        <f>SUM(H248:H252)</f>
        <v>38997.198319999996</v>
      </c>
      <c r="I253" s="14"/>
      <c r="J253" s="11">
        <f>SUM(J248:J252)</f>
        <v>1084.0029999999999</v>
      </c>
      <c r="K253" s="14"/>
      <c r="L253" s="11">
        <f>SUM(L248:L252)</f>
        <v>-216.8006</v>
      </c>
      <c r="M253" s="14"/>
      <c r="N253" s="11">
        <f>SUM(N248:N252)</f>
        <v>0</v>
      </c>
      <c r="O253" s="14"/>
      <c r="P253" s="11">
        <f>SUM(P248:P252)</f>
        <v>39864.400719999998</v>
      </c>
      <c r="Q253" s="14"/>
      <c r="R253" s="11">
        <f>SUM(R248:R252)</f>
        <v>39235.963800000005</v>
      </c>
    </row>
    <row r="254" spans="1:18" x14ac:dyDescent="0.25">
      <c r="A254" s="115">
        <f t="shared" si="4"/>
        <v>9</v>
      </c>
      <c r="B254" s="115"/>
      <c r="F254" s="126"/>
      <c r="O254" s="112"/>
    </row>
    <row r="255" spans="1:18" x14ac:dyDescent="0.25">
      <c r="A255" s="115">
        <f t="shared" si="4"/>
        <v>10</v>
      </c>
      <c r="B255" s="115"/>
      <c r="C255" s="115"/>
      <c r="D255" s="136" t="s">
        <v>103</v>
      </c>
      <c r="F255" s="125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</row>
    <row r="256" spans="1:18" x14ac:dyDescent="0.25">
      <c r="A256" s="115">
        <f t="shared" si="4"/>
        <v>11</v>
      </c>
      <c r="B256" s="115"/>
      <c r="C256" s="113">
        <v>34186</v>
      </c>
      <c r="D256" s="110" t="s">
        <v>45</v>
      </c>
      <c r="F256" s="125">
        <f>VLOOKUP($C256,'ASDR FY1'!$A:$X,F$15,FALSE)*100</f>
        <v>2.6</v>
      </c>
      <c r="G256" s="112"/>
      <c r="H256" s="7">
        <f>VLOOKUP($C256,'ASDR FY1'!$A:$X,H$15,FALSE)/1000</f>
        <v>13374.554050000001</v>
      </c>
      <c r="I256" s="8"/>
      <c r="J256" s="7">
        <f>VLOOKUP($C256,'ASDR FY1'!$A:$X,J$15,FALSE)/1000</f>
        <v>0</v>
      </c>
      <c r="K256" s="9"/>
      <c r="L256" s="7">
        <f>VLOOKUP($C256,'ASDR FY1'!$A:$X,L$15,FALSE)/1000</f>
        <v>0</v>
      </c>
      <c r="M256" s="9"/>
      <c r="N256" s="7">
        <f>VLOOKUP($C256,'ASDR FY1'!$A:$X,N$14,FALSE)/1000+VLOOKUP($C256,'ASDR FY1'!$A:$X,N$15,FALSE)/1000</f>
        <v>0</v>
      </c>
      <c r="O256" s="8"/>
      <c r="P256" s="7">
        <f>SUM(H256,J256,L256,N256)</f>
        <v>13374.554050000001</v>
      </c>
      <c r="Q256" s="9"/>
      <c r="R256" s="7">
        <f>VLOOKUP($C256,'ASDR FY1'!$A:$X,R$15,FALSE)/1000</f>
        <v>13374.554050000001</v>
      </c>
    </row>
    <row r="257" spans="1:18" x14ac:dyDescent="0.25">
      <c r="A257" s="115">
        <f t="shared" si="4"/>
        <v>12</v>
      </c>
      <c r="B257" s="121"/>
      <c r="C257" s="113">
        <v>34286</v>
      </c>
      <c r="D257" s="110" t="s">
        <v>81</v>
      </c>
      <c r="F257" s="125">
        <f>VLOOKUP($C257,'ASDR FY1'!$A:$X,F$15,FALSE)*100</f>
        <v>3</v>
      </c>
      <c r="G257" s="112"/>
      <c r="H257" s="7">
        <f>VLOOKUP($C257,'ASDR FY1'!$A:$X,H$15,FALSE)/1000</f>
        <v>213841.66314999992</v>
      </c>
      <c r="I257" s="8"/>
      <c r="J257" s="7">
        <f>VLOOKUP($C257,'ASDR FY1'!$A:$X,J$15,FALSE)/1000</f>
        <v>1785.8537699999999</v>
      </c>
      <c r="K257" s="9"/>
      <c r="L257" s="7">
        <f>VLOOKUP($C257,'ASDR FY1'!$A:$X,L$15,FALSE)/1000</f>
        <v>-357.17077</v>
      </c>
      <c r="M257" s="9"/>
      <c r="N257" s="7">
        <f>VLOOKUP($C257,'ASDR FY1'!$A:$X,N$14,FALSE)/1000+VLOOKUP($C257,'ASDR FY1'!$A:$X,N$15,FALSE)/1000</f>
        <v>0</v>
      </c>
      <c r="O257" s="8"/>
      <c r="P257" s="7">
        <f>SUM(H257,J257,L257,N257)</f>
        <v>215270.34614999991</v>
      </c>
      <c r="Q257" s="9"/>
      <c r="R257" s="7">
        <f>VLOOKUP($C257,'ASDR FY1'!$A:$X,R$15,FALSE)/1000</f>
        <v>214458.41193</v>
      </c>
    </row>
    <row r="258" spans="1:18" x14ac:dyDescent="0.25">
      <c r="A258" s="115">
        <f t="shared" si="4"/>
        <v>13</v>
      </c>
      <c r="B258" s="121"/>
      <c r="C258" s="113">
        <v>34386</v>
      </c>
      <c r="D258" s="110" t="s">
        <v>82</v>
      </c>
      <c r="F258" s="125">
        <f>VLOOKUP($C258,'ASDR FY1'!$A:$X,F$15,FALSE)*100</f>
        <v>3.1</v>
      </c>
      <c r="G258" s="112"/>
      <c r="H258" s="7">
        <f>VLOOKUP($C258,'ASDR FY1'!$A:$X,H$15,FALSE)/1000</f>
        <v>223922.33248000001</v>
      </c>
      <c r="I258" s="8"/>
      <c r="J258" s="7">
        <f>VLOOKUP($C258,'ASDR FY1'!$A:$X,J$15,FALSE)/1000</f>
        <v>1785.8537699999999</v>
      </c>
      <c r="K258" s="9"/>
      <c r="L258" s="7">
        <f>VLOOKUP($C258,'ASDR FY1'!$A:$X,L$15,FALSE)/1000</f>
        <v>-357.17077</v>
      </c>
      <c r="M258" s="9"/>
      <c r="N258" s="7">
        <f>VLOOKUP($C258,'ASDR FY1'!$A:$X,N$14,FALSE)/1000+VLOOKUP($C258,'ASDR FY1'!$A:$X,N$15,FALSE)/1000</f>
        <v>0</v>
      </c>
      <c r="O258" s="8"/>
      <c r="P258" s="7">
        <f>SUM(H258,J258,L258,N258)</f>
        <v>225351.01548</v>
      </c>
      <c r="Q258" s="9"/>
      <c r="R258" s="7">
        <f>VLOOKUP($C258,'ASDR FY1'!$A:$X,R$15,FALSE)/1000</f>
        <v>224539.08125999998</v>
      </c>
    </row>
    <row r="259" spans="1:18" x14ac:dyDescent="0.25">
      <c r="A259" s="115">
        <f t="shared" si="4"/>
        <v>14</v>
      </c>
      <c r="B259" s="121"/>
      <c r="C259" s="113">
        <v>34586</v>
      </c>
      <c r="D259" s="110" t="s">
        <v>48</v>
      </c>
      <c r="F259" s="125">
        <f>VLOOKUP($C259,'ASDR FY1'!$A:$X,F$15,FALSE)*100</f>
        <v>3</v>
      </c>
      <c r="G259" s="112"/>
      <c r="H259" s="7">
        <f>VLOOKUP($C259,'ASDR FY1'!$A:$X,H$15,FALSE)/1000</f>
        <v>18338.595009999997</v>
      </c>
      <c r="I259" s="8"/>
      <c r="J259" s="7">
        <f>VLOOKUP($C259,'ASDR FY1'!$A:$X,J$15,FALSE)/1000</f>
        <v>0</v>
      </c>
      <c r="K259" s="9"/>
      <c r="L259" s="7">
        <f>VLOOKUP($C259,'ASDR FY1'!$A:$X,L$15,FALSE)/1000</f>
        <v>0</v>
      </c>
      <c r="M259" s="9"/>
      <c r="N259" s="7">
        <f>VLOOKUP($C259,'ASDR FY1'!$A:$X,N$14,FALSE)/1000+VLOOKUP($C259,'ASDR FY1'!$A:$X,N$15,FALSE)/1000</f>
        <v>0</v>
      </c>
      <c r="O259" s="8"/>
      <c r="P259" s="7">
        <f>SUM(H259,J259,L259,N259)</f>
        <v>18338.595009999997</v>
      </c>
      <c r="Q259" s="9"/>
      <c r="R259" s="7">
        <f>VLOOKUP($C259,'ASDR FY1'!$A:$X,R$15,FALSE)/1000</f>
        <v>18338.595010000001</v>
      </c>
    </row>
    <row r="260" spans="1:18" x14ac:dyDescent="0.25">
      <c r="A260" s="115">
        <f t="shared" si="4"/>
        <v>15</v>
      </c>
      <c r="B260" s="121"/>
      <c r="C260" s="113">
        <v>34686</v>
      </c>
      <c r="D260" s="110" t="s">
        <v>49</v>
      </c>
      <c r="F260" s="125">
        <f>VLOOKUP($C260,'ASDR FY1'!$A:$X,F$15,FALSE)*100</f>
        <v>3</v>
      </c>
      <c r="G260" s="112"/>
      <c r="H260" s="7">
        <f>VLOOKUP($C260,'ASDR FY1'!$A:$X,H$15,FALSE)/1000</f>
        <v>141.62640999999999</v>
      </c>
      <c r="I260" s="8"/>
      <c r="J260" s="7">
        <f>VLOOKUP($C260,'ASDR FY1'!$A:$X,J$15,FALSE)/1000</f>
        <v>0</v>
      </c>
      <c r="K260" s="9"/>
      <c r="L260" s="7">
        <f>VLOOKUP($C260,'ASDR FY1'!$A:$X,L$15,FALSE)/1000</f>
        <v>0</v>
      </c>
      <c r="M260" s="9"/>
      <c r="N260" s="7">
        <f>VLOOKUP($C260,'ASDR FY1'!$A:$X,N$14,FALSE)/1000+VLOOKUP($C260,'ASDR FY1'!$A:$X,N$15,FALSE)/1000</f>
        <v>0</v>
      </c>
      <c r="O260" s="8"/>
      <c r="P260" s="7">
        <f>SUM(H260,J260,L260,N260)</f>
        <v>141.62640999999999</v>
      </c>
      <c r="Q260" s="9"/>
      <c r="R260" s="7">
        <f>VLOOKUP($C260,'ASDR FY1'!$A:$X,R$15,FALSE)/1000</f>
        <v>141.62640999999999</v>
      </c>
    </row>
    <row r="261" spans="1:18" x14ac:dyDescent="0.25">
      <c r="A261" s="115">
        <f t="shared" si="4"/>
        <v>16</v>
      </c>
      <c r="B261" s="121"/>
      <c r="C261" s="113"/>
      <c r="D261" s="136" t="s">
        <v>104</v>
      </c>
      <c r="F261" s="125"/>
      <c r="H261" s="11">
        <f>SUM(H256:H260)</f>
        <v>469618.77109999995</v>
      </c>
      <c r="I261" s="14"/>
      <c r="J261" s="11">
        <f>SUM(J256:J260)</f>
        <v>3571.7075399999999</v>
      </c>
      <c r="K261" s="14"/>
      <c r="L261" s="11">
        <f>SUM(L256:L260)</f>
        <v>-714.34154000000001</v>
      </c>
      <c r="M261" s="14"/>
      <c r="N261" s="11">
        <f>SUM(N256:N260)</f>
        <v>0</v>
      </c>
      <c r="O261" s="14"/>
      <c r="P261" s="11">
        <f>SUM(P256:P260)</f>
        <v>472476.13709999993</v>
      </c>
      <c r="Q261" s="14"/>
      <c r="R261" s="11">
        <f>SUM(R256:R260)</f>
        <v>470852.26866</v>
      </c>
    </row>
    <row r="262" spans="1:18" x14ac:dyDescent="0.25">
      <c r="A262" s="115">
        <f t="shared" si="4"/>
        <v>17</v>
      </c>
      <c r="B262" s="121"/>
      <c r="F262" s="126"/>
      <c r="O262" s="112"/>
    </row>
    <row r="263" spans="1:18" x14ac:dyDescent="0.25">
      <c r="A263" s="115">
        <f t="shared" si="4"/>
        <v>18</v>
      </c>
      <c r="B263" s="121"/>
      <c r="C263" s="113">
        <v>34287</v>
      </c>
      <c r="D263" s="136" t="s">
        <v>105</v>
      </c>
      <c r="F263" s="125">
        <f>VLOOKUP($C263,'ASDR FY1'!$A:$X,F$15,FALSE)*100</f>
        <v>20</v>
      </c>
      <c r="G263" s="112"/>
      <c r="H263" s="7">
        <f>VLOOKUP($C263,'ASDR FY1'!$A:$X,H$15,FALSE)/1000</f>
        <v>0</v>
      </c>
      <c r="I263" s="8"/>
      <c r="J263" s="7">
        <f>VLOOKUP($C263,'ASDR FY1'!$A:$X,J$15,FALSE)/1000</f>
        <v>0</v>
      </c>
      <c r="K263" s="9"/>
      <c r="L263" s="7">
        <f>VLOOKUP($C263,'ASDR FY1'!$A:$X,L$15,FALSE)/1000</f>
        <v>0</v>
      </c>
      <c r="M263" s="9"/>
      <c r="N263" s="7">
        <f>VLOOKUP($C263,'ASDR FY1'!$A:$X,N$14,FALSE)/1000+VLOOKUP($C263,'ASDR FY1'!$A:$X,N$15,FALSE)/1000</f>
        <v>0</v>
      </c>
      <c r="O263" s="8"/>
      <c r="P263" s="7">
        <f>SUM(H263,J263,L263,N263)</f>
        <v>0</v>
      </c>
      <c r="Q263" s="9"/>
      <c r="R263" s="7">
        <f>VLOOKUP($C263,'ASDR FY1'!$A:$X,R$15,FALSE)/1000</f>
        <v>0</v>
      </c>
    </row>
    <row r="264" spans="1:18" x14ac:dyDescent="0.25">
      <c r="A264" s="115">
        <f t="shared" si="4"/>
        <v>19</v>
      </c>
      <c r="B264" s="121"/>
      <c r="C264" s="113">
        <v>34687</v>
      </c>
      <c r="D264" s="110" t="s">
        <v>106</v>
      </c>
      <c r="F264" s="125">
        <f>VLOOKUP($C264,'ASDR FY1'!$A:$X,F$15,FALSE)*100</f>
        <v>14.299999999999999</v>
      </c>
      <c r="G264" s="112"/>
      <c r="H264" s="7">
        <f>VLOOKUP($C264,'ASDR FY1'!$A:$X,H$15,FALSE)/1000</f>
        <v>2111.9599400000002</v>
      </c>
      <c r="I264" s="8"/>
      <c r="J264" s="7">
        <f>VLOOKUP($C264,'ASDR FY1'!$A:$X,J$15,FALSE)/1000</f>
        <v>0</v>
      </c>
      <c r="K264" s="9"/>
      <c r="L264" s="7">
        <f>VLOOKUP($C264,'ASDR FY1'!$A:$X,L$15,FALSE)/1000</f>
        <v>0</v>
      </c>
      <c r="M264" s="9"/>
      <c r="N264" s="7">
        <f>VLOOKUP($C264,'ASDR FY1'!$A:$X,N$14,FALSE)/1000+VLOOKUP($C264,'ASDR FY1'!$A:$X,N$15,FALSE)/1000</f>
        <v>0</v>
      </c>
      <c r="O264" s="8"/>
      <c r="P264" s="7">
        <f>SUM(H264,J264,L264,N264)</f>
        <v>2111.9599400000002</v>
      </c>
      <c r="Q264" s="9"/>
      <c r="R264" s="7">
        <f>VLOOKUP($C264,'ASDR FY1'!$A:$X,R$15,FALSE)/1000</f>
        <v>2111.9599399999997</v>
      </c>
    </row>
    <row r="265" spans="1:18" x14ac:dyDescent="0.25">
      <c r="A265" s="115">
        <f t="shared" si="4"/>
        <v>20</v>
      </c>
      <c r="B265" s="121"/>
      <c r="C265" s="115"/>
      <c r="F265" s="125"/>
      <c r="H265" s="11"/>
      <c r="I265" s="14"/>
      <c r="J265" s="11"/>
      <c r="K265" s="14"/>
      <c r="L265" s="11"/>
      <c r="M265" s="14"/>
      <c r="N265" s="11"/>
      <c r="O265" s="14"/>
      <c r="P265" s="11"/>
      <c r="Q265" s="14"/>
      <c r="R265" s="11"/>
    </row>
    <row r="266" spans="1:18" ht="13.8" thickBot="1" x14ac:dyDescent="0.3">
      <c r="A266" s="115">
        <f t="shared" si="4"/>
        <v>21</v>
      </c>
      <c r="B266" s="121"/>
      <c r="C266" s="115"/>
      <c r="D266" s="110" t="s">
        <v>107</v>
      </c>
      <c r="F266" s="125"/>
      <c r="H266" s="18">
        <f>SUM(H196,H204,H212,H220,H228,H253,H261,H263,H264)</f>
        <v>1430834.0618999996</v>
      </c>
      <c r="I266" s="14"/>
      <c r="J266" s="18">
        <f>SUM(J196,J204,J212,J220,J228,J253,J261,J263,J264)</f>
        <v>22980.699860000001</v>
      </c>
      <c r="K266" s="14"/>
      <c r="L266" s="18">
        <f>SUM(L196,L204,L212,L220,L228,L253,L261,L263,L264)</f>
        <v>-4596.1400800000001</v>
      </c>
      <c r="M266" s="14"/>
      <c r="N266" s="18">
        <f>SUM(N196,N204,N212,N220,N228,N253,N261,N263,N264)</f>
        <v>0</v>
      </c>
      <c r="O266" s="14"/>
      <c r="P266" s="18">
        <f>SUM(P196,P204,P212,P220,P228,P253,P261,P263,P264)</f>
        <v>1449218.6216799999</v>
      </c>
      <c r="Q266" s="14"/>
      <c r="R266" s="18">
        <f>SUM(R196,R204,R212,R220,R228,R253,R261,R263,R264)</f>
        <v>1437962.2932</v>
      </c>
    </row>
    <row r="267" spans="1:18" ht="13.8" thickTop="1" x14ac:dyDescent="0.25">
      <c r="A267" s="115">
        <f t="shared" si="4"/>
        <v>22</v>
      </c>
      <c r="B267" s="121"/>
      <c r="F267" s="126"/>
      <c r="O267" s="112"/>
    </row>
    <row r="268" spans="1:18" x14ac:dyDescent="0.25">
      <c r="A268" s="115">
        <f t="shared" si="4"/>
        <v>23</v>
      </c>
      <c r="B268" s="121"/>
      <c r="F268" s="126"/>
      <c r="O268" s="112"/>
    </row>
    <row r="269" spans="1:18" x14ac:dyDescent="0.25">
      <c r="A269" s="115">
        <f t="shared" si="4"/>
        <v>24</v>
      </c>
      <c r="B269" s="121"/>
      <c r="F269" s="126"/>
      <c r="O269" s="112"/>
    </row>
    <row r="270" spans="1:18" x14ac:dyDescent="0.25">
      <c r="A270" s="115">
        <f t="shared" si="4"/>
        <v>25</v>
      </c>
      <c r="B270" s="121"/>
      <c r="D270" s="110" t="s">
        <v>108</v>
      </c>
      <c r="F270" s="126"/>
      <c r="O270" s="112"/>
    </row>
    <row r="271" spans="1:18" x14ac:dyDescent="0.25">
      <c r="A271" s="115">
        <f t="shared" si="4"/>
        <v>26</v>
      </c>
      <c r="B271" s="129"/>
      <c r="D271" s="136" t="s">
        <v>109</v>
      </c>
      <c r="F271" s="125"/>
      <c r="H271" s="141"/>
      <c r="I271" s="14"/>
      <c r="J271" s="141"/>
      <c r="K271" s="14"/>
      <c r="L271" s="141"/>
      <c r="M271" s="14"/>
      <c r="N271" s="141"/>
      <c r="O271" s="14"/>
      <c r="P271" s="141"/>
      <c r="Q271" s="14"/>
      <c r="R271" s="141"/>
    </row>
    <row r="272" spans="1:18" x14ac:dyDescent="0.25">
      <c r="A272" s="115">
        <f t="shared" si="4"/>
        <v>27</v>
      </c>
      <c r="B272" s="129"/>
      <c r="C272" s="115">
        <v>34130</v>
      </c>
      <c r="D272" s="110" t="s">
        <v>45</v>
      </c>
      <c r="F272" s="125">
        <f>VLOOKUP($C272,'ASDR FY1'!$A:$X,F$15,FALSE)*100</f>
        <v>3.4000000000000004</v>
      </c>
      <c r="G272" s="112"/>
      <c r="H272" s="7">
        <f>VLOOKUP($C272,'ASDR FY1'!$A:$X,H$15,FALSE)/1000</f>
        <v>104796.03444999999</v>
      </c>
      <c r="I272" s="8"/>
      <c r="J272" s="7">
        <f>VLOOKUP($C272,'ASDR FY1'!$A:$X,J$15,FALSE)/1000</f>
        <v>9295.0993400000007</v>
      </c>
      <c r="K272" s="9"/>
      <c r="L272" s="7">
        <f>VLOOKUP($C272,'ASDR FY1'!$A:$X,L$15,FALSE)/1000</f>
        <v>-1859.0198700000001</v>
      </c>
      <c r="M272" s="9"/>
      <c r="N272" s="7">
        <f>VLOOKUP($C272,'ASDR FY1'!$A:$X,N$14,FALSE)/1000+VLOOKUP($C272,'ASDR FY1'!$A:$X,N$15,FALSE)/1000</f>
        <v>0</v>
      </c>
      <c r="O272" s="8"/>
      <c r="P272" s="7">
        <f>SUM(H272,J272,L272,N272)</f>
        <v>112232.11391999999</v>
      </c>
      <c r="Q272" s="9"/>
      <c r="R272" s="7">
        <f>VLOOKUP($C272,'ASDR FY1'!$A:$X,R$15,FALSE)/1000</f>
        <v>109300.06531999999</v>
      </c>
    </row>
    <row r="273" spans="1:18" x14ac:dyDescent="0.25">
      <c r="A273" s="115">
        <f t="shared" si="4"/>
        <v>28</v>
      </c>
      <c r="B273" s="129"/>
      <c r="C273" s="115">
        <v>34230</v>
      </c>
      <c r="D273" s="110" t="s">
        <v>81</v>
      </c>
      <c r="F273" s="125">
        <f>VLOOKUP($C273,'ASDR FY1'!$A:$X,F$15,FALSE)*100</f>
        <v>3</v>
      </c>
      <c r="G273" s="112"/>
      <c r="H273" s="7">
        <f>VLOOKUP($C273,'ASDR FY1'!$A:$X,H$15,FALSE)/1000</f>
        <v>24416.151070000007</v>
      </c>
      <c r="I273" s="8"/>
      <c r="J273" s="7">
        <f>VLOOKUP($C273,'ASDR FY1'!$A:$X,J$15,FALSE)/1000</f>
        <v>21123.92254</v>
      </c>
      <c r="K273" s="9"/>
      <c r="L273" s="7">
        <f>VLOOKUP($C273,'ASDR FY1'!$A:$X,L$15,FALSE)/1000</f>
        <v>-4224.7845399999997</v>
      </c>
      <c r="M273" s="9"/>
      <c r="N273" s="7">
        <f>VLOOKUP($C273,'ASDR FY1'!$A:$X,N$14,FALSE)/1000+VLOOKUP($C273,'ASDR FY1'!$A:$X,N$15,FALSE)/1000</f>
        <v>0</v>
      </c>
      <c r="O273" s="8"/>
      <c r="P273" s="7">
        <f>SUM(H273,J273,L273,N273)</f>
        <v>41315.289070000006</v>
      </c>
      <c r="Q273" s="9"/>
      <c r="R273" s="7">
        <f>VLOOKUP($C273,'ASDR FY1'!$A:$X,R$15,FALSE)/1000</f>
        <v>36694.36434</v>
      </c>
    </row>
    <row r="274" spans="1:18" x14ac:dyDescent="0.25">
      <c r="A274" s="115">
        <f t="shared" si="4"/>
        <v>29</v>
      </c>
      <c r="B274" s="121"/>
      <c r="C274" s="115">
        <v>34330</v>
      </c>
      <c r="D274" s="110" t="s">
        <v>82</v>
      </c>
      <c r="F274" s="125">
        <f>VLOOKUP($C274,'ASDR FY1'!$A:$X,F$15,FALSE)*100</f>
        <v>5.5</v>
      </c>
      <c r="G274" s="112"/>
      <c r="H274" s="7">
        <f>VLOOKUP($C274,'ASDR FY1'!$A:$X,H$15,FALSE)/1000</f>
        <v>39430.136840000014</v>
      </c>
      <c r="I274" s="8"/>
      <c r="J274" s="7">
        <f>VLOOKUP($C274,'ASDR FY1'!$A:$X,J$15,FALSE)/1000</f>
        <v>21123.92254</v>
      </c>
      <c r="K274" s="9"/>
      <c r="L274" s="7">
        <f>VLOOKUP($C274,'ASDR FY1'!$A:$X,L$15,FALSE)/1000</f>
        <v>-4224.7845399999997</v>
      </c>
      <c r="M274" s="9"/>
      <c r="N274" s="7">
        <f>VLOOKUP($C274,'ASDR FY1'!$A:$X,N$14,FALSE)/1000+VLOOKUP($C274,'ASDR FY1'!$A:$X,N$15,FALSE)/1000</f>
        <v>0</v>
      </c>
      <c r="O274" s="8"/>
      <c r="P274" s="7">
        <f>SUM(H274,J274,L274,N274)</f>
        <v>56329.274840000013</v>
      </c>
      <c r="Q274" s="9"/>
      <c r="R274" s="7">
        <f>VLOOKUP($C274,'ASDR FY1'!$A:$X,R$15,FALSE)/1000</f>
        <v>51708.350109999999</v>
      </c>
    </row>
    <row r="275" spans="1:18" x14ac:dyDescent="0.25">
      <c r="A275" s="115">
        <f t="shared" si="4"/>
        <v>30</v>
      </c>
      <c r="B275" s="121"/>
      <c r="C275" s="115">
        <v>34530</v>
      </c>
      <c r="D275" s="110" t="s">
        <v>48</v>
      </c>
      <c r="F275" s="125">
        <f>VLOOKUP($C275,'ASDR FY1'!$A:$X,F$15,FALSE)*100</f>
        <v>3.3000000000000003</v>
      </c>
      <c r="G275" s="112"/>
      <c r="H275" s="7">
        <f>VLOOKUP($C275,'ASDR FY1'!$A:$X,H$15,FALSE)/1000</f>
        <v>32858.830609999997</v>
      </c>
      <c r="I275" s="8"/>
      <c r="J275" s="7">
        <f>VLOOKUP($C275,'ASDR FY1'!$A:$X,J$15,FALSE)/1000</f>
        <v>0</v>
      </c>
      <c r="K275" s="9"/>
      <c r="L275" s="7">
        <f>VLOOKUP($C275,'ASDR FY1'!$A:$X,L$15,FALSE)/1000</f>
        <v>0</v>
      </c>
      <c r="M275" s="9"/>
      <c r="N275" s="7">
        <f>VLOOKUP($C275,'ASDR FY1'!$A:$X,N$14,FALSE)/1000+VLOOKUP($C275,'ASDR FY1'!$A:$X,N$15,FALSE)/1000</f>
        <v>0</v>
      </c>
      <c r="O275" s="8"/>
      <c r="P275" s="7">
        <f>SUM(H275,J275,L275,N275)</f>
        <v>32858.830609999997</v>
      </c>
      <c r="Q275" s="9"/>
      <c r="R275" s="7">
        <f>VLOOKUP($C275,'ASDR FY1'!$A:$X,R$15,FALSE)/1000</f>
        <v>32858.830609999997</v>
      </c>
    </row>
    <row r="276" spans="1:18" x14ac:dyDescent="0.25">
      <c r="A276" s="115">
        <f t="shared" si="4"/>
        <v>31</v>
      </c>
      <c r="B276" s="121"/>
      <c r="C276" s="115">
        <v>34630</v>
      </c>
      <c r="D276" s="110" t="s">
        <v>49</v>
      </c>
      <c r="F276" s="125">
        <f>VLOOKUP($C276,'ASDR FY1'!$A:$X,F$15,FALSE)*100</f>
        <v>4</v>
      </c>
      <c r="G276" s="112"/>
      <c r="H276" s="7">
        <f>VLOOKUP($C276,'ASDR FY1'!$A:$X,H$15,FALSE)/1000</f>
        <v>11491.776410000002</v>
      </c>
      <c r="I276" s="8"/>
      <c r="J276" s="7">
        <f>VLOOKUP($C276,'ASDR FY1'!$A:$X,J$15,FALSE)/1000</f>
        <v>0</v>
      </c>
      <c r="K276" s="9"/>
      <c r="L276" s="7">
        <f>VLOOKUP($C276,'ASDR FY1'!$A:$X,L$15,FALSE)/1000</f>
        <v>0</v>
      </c>
      <c r="M276" s="9"/>
      <c r="N276" s="7">
        <f>VLOOKUP($C276,'ASDR FY1'!$A:$X,N$14,FALSE)/1000+VLOOKUP($C276,'ASDR FY1'!$A:$X,N$15,FALSE)/1000</f>
        <v>0</v>
      </c>
      <c r="O276" s="8"/>
      <c r="P276" s="7">
        <f>SUM(H276,J276,L276,N276)</f>
        <v>11491.776410000002</v>
      </c>
      <c r="Q276" s="9"/>
      <c r="R276" s="7">
        <f>VLOOKUP($C276,'ASDR FY1'!$A:$X,R$15,FALSE)/1000</f>
        <v>11491.77641</v>
      </c>
    </row>
    <row r="277" spans="1:18" x14ac:dyDescent="0.25">
      <c r="A277" s="115">
        <f t="shared" si="4"/>
        <v>32</v>
      </c>
      <c r="B277" s="121"/>
      <c r="C277" s="115"/>
      <c r="D277" s="136" t="s">
        <v>110</v>
      </c>
      <c r="F277" s="125"/>
      <c r="H277" s="11">
        <f>SUM(H272:H276)</f>
        <v>212992.92938000002</v>
      </c>
      <c r="I277" s="14"/>
      <c r="J277" s="11">
        <f>SUM(J272:J276)</f>
        <v>51542.94442</v>
      </c>
      <c r="K277" s="14"/>
      <c r="L277" s="11">
        <f>SUM(L272:L276)</f>
        <v>-10308.588949999999</v>
      </c>
      <c r="M277" s="14"/>
      <c r="N277" s="11">
        <f>SUM(N272:N276)</f>
        <v>0</v>
      </c>
      <c r="O277" s="14"/>
      <c r="P277" s="11">
        <f>SUM(P272:P276)</f>
        <v>254227.28485</v>
      </c>
      <c r="Q277" s="14"/>
      <c r="R277" s="11">
        <f>SUM(R272:R276)</f>
        <v>242053.38678999999</v>
      </c>
    </row>
    <row r="278" spans="1:18" x14ac:dyDescent="0.25">
      <c r="A278" s="115">
        <f t="shared" si="4"/>
        <v>33</v>
      </c>
      <c r="B278" s="121"/>
      <c r="F278" s="126"/>
      <c r="O278" s="112"/>
    </row>
    <row r="279" spans="1:18" x14ac:dyDescent="0.25">
      <c r="A279" s="115">
        <f t="shared" si="4"/>
        <v>34</v>
      </c>
      <c r="D279" s="136" t="s">
        <v>111</v>
      </c>
      <c r="F279" s="126"/>
      <c r="H279" s="24"/>
      <c r="I279" s="24"/>
      <c r="J279" s="24"/>
      <c r="K279" s="24"/>
      <c r="L279" s="142"/>
      <c r="M279" s="142"/>
      <c r="N279" s="142"/>
      <c r="O279" s="143"/>
      <c r="P279" s="24"/>
      <c r="Q279" s="24"/>
      <c r="R279" s="24"/>
    </row>
    <row r="280" spans="1:18" x14ac:dyDescent="0.25">
      <c r="A280" s="115">
        <f t="shared" si="4"/>
        <v>35</v>
      </c>
      <c r="C280" s="113">
        <v>34131</v>
      </c>
      <c r="D280" s="110" t="s">
        <v>45</v>
      </c>
      <c r="F280" s="125">
        <f>VLOOKUP($C280,'ASDR FY1'!$A:$X,F$15,FALSE)*100</f>
        <v>3.5999999999999996</v>
      </c>
      <c r="G280" s="112"/>
      <c r="H280" s="7">
        <f>VLOOKUP($C280,'ASDR FY1'!$A:$X,H$15,FALSE)/1000</f>
        <v>21253.120770000005</v>
      </c>
      <c r="I280" s="8"/>
      <c r="J280" s="7">
        <f>VLOOKUP($C280,'ASDR FY1'!$A:$X,J$15,FALSE)/1000</f>
        <v>0</v>
      </c>
      <c r="K280" s="9"/>
      <c r="L280" s="7">
        <f>VLOOKUP($C280,'ASDR FY1'!$A:$X,L$15,FALSE)/1000</f>
        <v>0</v>
      </c>
      <c r="M280" s="9"/>
      <c r="N280" s="7">
        <f>VLOOKUP($C280,'ASDR FY1'!$A:$X,N$14,FALSE)/1000+VLOOKUP($C280,'ASDR FY1'!$A:$X,N$15,FALSE)/1000</f>
        <v>0</v>
      </c>
      <c r="O280" s="8"/>
      <c r="P280" s="7">
        <f>SUM(H280,J280,L280,N280)</f>
        <v>21253.120770000005</v>
      </c>
      <c r="Q280" s="9"/>
      <c r="R280" s="7">
        <f>VLOOKUP($C280,'ASDR FY1'!$A:$X,R$15,FALSE)/1000</f>
        <v>21253.120770000001</v>
      </c>
    </row>
    <row r="281" spans="1:18" x14ac:dyDescent="0.25">
      <c r="A281" s="115">
        <f t="shared" si="4"/>
        <v>36</v>
      </c>
      <c r="C281" s="113">
        <v>34231</v>
      </c>
      <c r="D281" s="110" t="s">
        <v>81</v>
      </c>
      <c r="F281" s="125">
        <f>VLOOKUP($C281,'ASDR FY1'!$A:$X,F$15,FALSE)*100</f>
        <v>4</v>
      </c>
      <c r="G281" s="112"/>
      <c r="H281" s="7">
        <f>VLOOKUP($C281,'ASDR FY1'!$A:$X,H$15,FALSE)/1000</f>
        <v>82756.183969999969</v>
      </c>
      <c r="I281" s="8"/>
      <c r="J281" s="7">
        <f>VLOOKUP($C281,'ASDR FY1'!$A:$X,J$15,FALSE)/1000</f>
        <v>9866.0653000000002</v>
      </c>
      <c r="K281" s="9"/>
      <c r="L281" s="7">
        <f>VLOOKUP($C281,'ASDR FY1'!$A:$X,L$15,FALSE)/1000</f>
        <v>-1973.21307</v>
      </c>
      <c r="M281" s="9"/>
      <c r="N281" s="7">
        <f>VLOOKUP($C281,'ASDR FY1'!$A:$X,N$14,FALSE)/1000+VLOOKUP($C281,'ASDR FY1'!$A:$X,N$15,FALSE)/1000</f>
        <v>0</v>
      </c>
      <c r="O281" s="8"/>
      <c r="P281" s="7">
        <f>SUM(H281,J281,L281,N281)</f>
        <v>90649.036199999973</v>
      </c>
      <c r="Q281" s="9"/>
      <c r="R281" s="7">
        <f>VLOOKUP($C281,'ASDR FY1'!$A:$X,R$15,FALSE)/1000</f>
        <v>87846.091050000003</v>
      </c>
    </row>
    <row r="282" spans="1:18" x14ac:dyDescent="0.25">
      <c r="A282" s="115">
        <f t="shared" si="4"/>
        <v>37</v>
      </c>
      <c r="C282" s="113">
        <v>34331</v>
      </c>
      <c r="D282" s="110" t="s">
        <v>82</v>
      </c>
      <c r="F282" s="125">
        <f>VLOOKUP($C282,'ASDR FY1'!$A:$X,F$15,FALSE)*100</f>
        <v>6.1</v>
      </c>
      <c r="G282" s="112"/>
      <c r="H282" s="7">
        <f>VLOOKUP($C282,'ASDR FY1'!$A:$X,H$15,FALSE)/1000</f>
        <v>249250.10859999998</v>
      </c>
      <c r="I282" s="8"/>
      <c r="J282" s="7">
        <f>VLOOKUP($C282,'ASDR FY1'!$A:$X,J$15,FALSE)/1000</f>
        <v>9866.0653000000002</v>
      </c>
      <c r="K282" s="9"/>
      <c r="L282" s="7">
        <f>VLOOKUP($C282,'ASDR FY1'!$A:$X,L$15,FALSE)/1000</f>
        <v>-1973.21307</v>
      </c>
      <c r="M282" s="9"/>
      <c r="N282" s="7">
        <f>VLOOKUP($C282,'ASDR FY1'!$A:$X,N$14,FALSE)/1000+VLOOKUP($C282,'ASDR FY1'!$A:$X,N$15,FALSE)/1000</f>
        <v>0</v>
      </c>
      <c r="O282" s="8"/>
      <c r="P282" s="7">
        <f>SUM(H282,J282,L282,N282)</f>
        <v>257142.96082999997</v>
      </c>
      <c r="Q282" s="9"/>
      <c r="R282" s="7">
        <f>VLOOKUP($C282,'ASDR FY1'!$A:$X,R$15,FALSE)/1000</f>
        <v>254340.01568000001</v>
      </c>
    </row>
    <row r="283" spans="1:18" x14ac:dyDescent="0.25">
      <c r="A283" s="115">
        <f t="shared" si="4"/>
        <v>38</v>
      </c>
      <c r="C283" s="113">
        <v>34531</v>
      </c>
      <c r="D283" s="110" t="s">
        <v>48</v>
      </c>
      <c r="F283" s="125">
        <f>VLOOKUP($C283,'ASDR FY1'!$A:$X,F$15,FALSE)*100</f>
        <v>4.1000000000000005</v>
      </c>
      <c r="G283" s="112"/>
      <c r="H283" s="7">
        <f>VLOOKUP($C283,'ASDR FY1'!$A:$X,H$15,FALSE)/1000</f>
        <v>40601.976499999997</v>
      </c>
      <c r="I283" s="8"/>
      <c r="J283" s="7">
        <f>VLOOKUP($C283,'ASDR FY1'!$A:$X,J$15,FALSE)/1000</f>
        <v>0</v>
      </c>
      <c r="K283" s="9"/>
      <c r="L283" s="7">
        <f>VLOOKUP($C283,'ASDR FY1'!$A:$X,L$15,FALSE)/1000</f>
        <v>0</v>
      </c>
      <c r="M283" s="9"/>
      <c r="N283" s="7">
        <f>VLOOKUP($C283,'ASDR FY1'!$A:$X,N$14,FALSE)/1000+VLOOKUP($C283,'ASDR FY1'!$A:$X,N$15,FALSE)/1000</f>
        <v>0</v>
      </c>
      <c r="O283" s="8"/>
      <c r="P283" s="7">
        <f>SUM(H283,J283,L283,N283)</f>
        <v>40601.976499999997</v>
      </c>
      <c r="Q283" s="9"/>
      <c r="R283" s="7">
        <f>VLOOKUP($C283,'ASDR FY1'!$A:$X,R$15,FALSE)/1000</f>
        <v>40601.976499999997</v>
      </c>
    </row>
    <row r="284" spans="1:18" x14ac:dyDescent="0.25">
      <c r="A284" s="115">
        <f t="shared" si="4"/>
        <v>39</v>
      </c>
      <c r="C284" s="113">
        <v>34631</v>
      </c>
      <c r="D284" s="110" t="s">
        <v>49</v>
      </c>
      <c r="F284" s="125">
        <f>VLOOKUP($C284,'ASDR FY1'!$A:$X,F$15,FALSE)*100</f>
        <v>3.2</v>
      </c>
      <c r="G284" s="112"/>
      <c r="H284" s="7">
        <f>VLOOKUP($C284,'ASDR FY1'!$A:$X,H$15,FALSE)/1000</f>
        <v>1175.7052099999999</v>
      </c>
      <c r="I284" s="8"/>
      <c r="J284" s="7">
        <f>VLOOKUP($C284,'ASDR FY1'!$A:$X,J$15,FALSE)/1000</f>
        <v>0</v>
      </c>
      <c r="K284" s="9"/>
      <c r="L284" s="7">
        <f>VLOOKUP($C284,'ASDR FY1'!$A:$X,L$15,FALSE)/1000</f>
        <v>0</v>
      </c>
      <c r="M284" s="9"/>
      <c r="N284" s="7">
        <f>VLOOKUP($C284,'ASDR FY1'!$A:$X,N$14,FALSE)/1000+VLOOKUP($C284,'ASDR FY1'!$A:$X,N$15,FALSE)/1000</f>
        <v>0</v>
      </c>
      <c r="O284" s="8"/>
      <c r="P284" s="7">
        <f>SUM(H284,J284,L284,N284)</f>
        <v>1175.7052099999999</v>
      </c>
      <c r="Q284" s="9"/>
      <c r="R284" s="7">
        <f>VLOOKUP($C284,'ASDR FY1'!$A:$X,R$15,FALSE)/1000</f>
        <v>1175.7052099999999</v>
      </c>
    </row>
    <row r="285" spans="1:18" x14ac:dyDescent="0.25">
      <c r="A285" s="115">
        <f t="shared" si="4"/>
        <v>40</v>
      </c>
      <c r="C285" s="115"/>
      <c r="D285" s="136" t="s">
        <v>112</v>
      </c>
      <c r="F285" s="130"/>
      <c r="H285" s="11">
        <f>SUM(H280:H284)</f>
        <v>395037.09504999995</v>
      </c>
      <c r="I285" s="14"/>
      <c r="J285" s="11">
        <f>SUM(J280:J284)</f>
        <v>19732.1306</v>
      </c>
      <c r="K285" s="14"/>
      <c r="L285" s="11">
        <f>SUM(L280:L284)</f>
        <v>-3946.42614</v>
      </c>
      <c r="M285" s="14"/>
      <c r="N285" s="11">
        <f>SUM(N280:N284)</f>
        <v>0</v>
      </c>
      <c r="O285" s="14"/>
      <c r="P285" s="11">
        <f>SUM(P280:P284)</f>
        <v>410822.79950999992</v>
      </c>
      <c r="Q285" s="14"/>
      <c r="R285" s="11">
        <f>SUM(R280:R284)</f>
        <v>405216.90921000001</v>
      </c>
    </row>
    <row r="286" spans="1:18" x14ac:dyDescent="0.25">
      <c r="A286" s="115">
        <f t="shared" si="4"/>
        <v>41</v>
      </c>
      <c r="O286" s="112"/>
    </row>
    <row r="287" spans="1:18" x14ac:dyDescent="0.25">
      <c r="A287" s="115">
        <f t="shared" si="4"/>
        <v>42</v>
      </c>
      <c r="O287" s="112"/>
    </row>
    <row r="288" spans="1:18" x14ac:dyDescent="0.25">
      <c r="A288" s="115">
        <f t="shared" si="4"/>
        <v>43</v>
      </c>
      <c r="O288" s="112"/>
    </row>
    <row r="289" spans="1:18" ht="13.8" thickBot="1" x14ac:dyDescent="0.3">
      <c r="A289" s="116">
        <f t="shared" si="4"/>
        <v>44</v>
      </c>
      <c r="B289" s="19" t="s">
        <v>59</v>
      </c>
      <c r="C289" s="109"/>
      <c r="D289" s="109"/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31"/>
      <c r="P289" s="109"/>
      <c r="Q289" s="109"/>
      <c r="R289" s="109"/>
    </row>
    <row r="290" spans="1:18" x14ac:dyDescent="0.25">
      <c r="A290" s="110" t="str">
        <f>$A$58</f>
        <v>Supporting Schedules:  B-08, B-11</v>
      </c>
      <c r="O290" s="112"/>
      <c r="P290" s="110" t="str">
        <f>$P$58</f>
        <v>Recap Schedules:  B-03, B-06</v>
      </c>
    </row>
    <row r="291" spans="1:18" ht="13.8" thickBot="1" x14ac:dyDescent="0.3">
      <c r="A291" s="109" t="str">
        <f>$A$1</f>
        <v>SCHEDULE B-07</v>
      </c>
      <c r="B291" s="109"/>
      <c r="C291" s="109"/>
      <c r="D291" s="109"/>
      <c r="E291" s="109"/>
      <c r="F291" s="109"/>
      <c r="G291" s="109" t="str">
        <f>$G$1</f>
        <v>PLANT BALANCES BY ACCOUNT AND SUB-ACCOUNT</v>
      </c>
      <c r="H291" s="109"/>
      <c r="I291" s="109"/>
      <c r="J291" s="109"/>
      <c r="K291" s="109"/>
      <c r="L291" s="109"/>
      <c r="M291" s="109"/>
      <c r="N291" s="109"/>
      <c r="O291" s="131"/>
      <c r="P291" s="109"/>
      <c r="Q291" s="109"/>
      <c r="R291" s="109" t="str">
        <f>"Page 16 of " &amp; $P$1</f>
        <v>Page 16 of 30</v>
      </c>
    </row>
    <row r="292" spans="1:18" x14ac:dyDescent="0.25">
      <c r="A292" s="110" t="str">
        <f>$A$2</f>
        <v>FLORIDA PUBLIC SERVICE COMMISSION</v>
      </c>
      <c r="B292" s="132"/>
      <c r="E292" s="112" t="str">
        <f>$E$2</f>
        <v xml:space="preserve">                  EXPLANATION:</v>
      </c>
      <c r="F292" s="110" t="str">
        <f>IF($F$2="","",$F$2)</f>
        <v>Provide the depreciation rate and plant balances for each account or sub-account to which</v>
      </c>
      <c r="J292" s="133"/>
      <c r="K292" s="133"/>
      <c r="M292" s="133"/>
      <c r="N292" s="133"/>
      <c r="O292" s="134"/>
      <c r="P292" s="110" t="str">
        <f>$P$2</f>
        <v>Type of data shown:</v>
      </c>
      <c r="R292" s="111"/>
    </row>
    <row r="293" spans="1:18" x14ac:dyDescent="0.25">
      <c r="B293" s="132"/>
      <c r="F293" s="110" t="str">
        <f>IF($F$3="","",$F$3)</f>
        <v>a separate depreciation rate is prescribed. (Include Amortization/Recovery schedule amounts).</v>
      </c>
      <c r="J293" s="112"/>
      <c r="K293" s="111"/>
      <c r="N293" s="112"/>
      <c r="O293" s="112" t="str">
        <f>IF($O$3=0,"",$O$3)</f>
        <v/>
      </c>
      <c r="P293" s="111" t="str">
        <f>$P$3</f>
        <v>Projected Test Year Ended 12/31/2025</v>
      </c>
      <c r="R293" s="112"/>
    </row>
    <row r="294" spans="1:18" x14ac:dyDescent="0.25">
      <c r="A294" s="110" t="str">
        <f>$A$4</f>
        <v>COMPANY: TAMPA ELECTRIC COMPANY</v>
      </c>
      <c r="B294" s="132"/>
      <c r="F294" s="110" t="str">
        <f>IF(+$F$4="","",$F$4)</f>
        <v/>
      </c>
      <c r="J294" s="112"/>
      <c r="K294" s="111"/>
      <c r="L294" s="112"/>
      <c r="O294" s="112" t="str">
        <f>IF($O$4=0,"",$O$4)</f>
        <v>XX</v>
      </c>
      <c r="P294" s="111" t="str">
        <f>$P$4</f>
        <v>Projected Prior Year Ended 12/31/2024</v>
      </c>
      <c r="R294" s="112"/>
    </row>
    <row r="295" spans="1:18" x14ac:dyDescent="0.25">
      <c r="B295" s="132"/>
      <c r="F295" s="110" t="str">
        <f>IF(+$F$5="","",$F$5)</f>
        <v/>
      </c>
      <c r="J295" s="112"/>
      <c r="K295" s="111"/>
      <c r="L295" s="112"/>
      <c r="O295" s="112" t="str">
        <f>IF($O$5=0,"",$O$5)</f>
        <v/>
      </c>
      <c r="P295" s="111" t="str">
        <f>$P$5</f>
        <v>Historical Prior Year Ended 12/31/2023</v>
      </c>
      <c r="R295" s="112"/>
    </row>
    <row r="296" spans="1:18" x14ac:dyDescent="0.25">
      <c r="J296" s="112"/>
      <c r="K296" s="111"/>
      <c r="L296" s="112"/>
      <c r="O296" s="112"/>
      <c r="P296" s="160" t="s">
        <v>573</v>
      </c>
      <c r="R296" s="112"/>
    </row>
    <row r="297" spans="1:18" x14ac:dyDescent="0.25">
      <c r="J297" s="112"/>
      <c r="K297" s="111"/>
      <c r="L297" s="112"/>
      <c r="O297" s="112"/>
      <c r="P297" s="160" t="s">
        <v>574</v>
      </c>
      <c r="R297" s="112"/>
    </row>
    <row r="298" spans="1:18" ht="13.8" thickBot="1" x14ac:dyDescent="0.3">
      <c r="A298" s="157" t="s">
        <v>572</v>
      </c>
      <c r="B298" s="109"/>
      <c r="C298" s="109"/>
      <c r="D298" s="109"/>
      <c r="E298" s="109"/>
      <c r="F298" s="109"/>
      <c r="G298" s="109"/>
      <c r="H298" s="116" t="s">
        <v>12</v>
      </c>
      <c r="I298" s="109"/>
      <c r="J298" s="109"/>
      <c r="K298" s="109"/>
      <c r="L298" s="109"/>
      <c r="M298" s="109"/>
      <c r="N298" s="109"/>
      <c r="O298" s="131"/>
      <c r="P298" s="161" t="s">
        <v>575</v>
      </c>
      <c r="Q298" s="109"/>
      <c r="R298" s="109"/>
    </row>
    <row r="299" spans="1:18" x14ac:dyDescent="0.25">
      <c r="C299" s="113"/>
      <c r="D299" s="113"/>
      <c r="E299" s="113"/>
      <c r="F299" s="113"/>
      <c r="G299" s="113"/>
      <c r="H299" s="113"/>
      <c r="I299" s="113"/>
      <c r="J299" s="113"/>
      <c r="K299" s="113"/>
      <c r="L299" s="113"/>
      <c r="M299" s="113"/>
      <c r="N299" s="113"/>
      <c r="O299" s="114"/>
      <c r="P299" s="113"/>
      <c r="Q299" s="113"/>
      <c r="R299" s="113"/>
    </row>
    <row r="300" spans="1:18" x14ac:dyDescent="0.25">
      <c r="C300" s="113" t="s">
        <v>13</v>
      </c>
      <c r="D300" s="113" t="s">
        <v>14</v>
      </c>
      <c r="E300" s="113"/>
      <c r="F300" s="113" t="s">
        <v>15</v>
      </c>
      <c r="G300" s="113"/>
      <c r="H300" s="113" t="s">
        <v>16</v>
      </c>
      <c r="I300" s="113"/>
      <c r="J300" s="115" t="s">
        <v>17</v>
      </c>
      <c r="K300" s="115"/>
      <c r="L300" s="113" t="s">
        <v>18</v>
      </c>
      <c r="M300" s="113"/>
      <c r="N300" s="113" t="s">
        <v>19</v>
      </c>
      <c r="O300" s="114"/>
      <c r="P300" s="113" t="s">
        <v>20</v>
      </c>
      <c r="Q300" s="113"/>
      <c r="R300" s="113" t="s">
        <v>21</v>
      </c>
    </row>
    <row r="301" spans="1:18" x14ac:dyDescent="0.25">
      <c r="C301" s="115" t="s">
        <v>22</v>
      </c>
      <c r="D301" s="115" t="s">
        <v>22</v>
      </c>
      <c r="F301" s="115" t="s">
        <v>23</v>
      </c>
      <c r="G301" s="115"/>
      <c r="H301" s="113" t="s">
        <v>24</v>
      </c>
      <c r="I301" s="115"/>
      <c r="J301" s="113" t="s">
        <v>25</v>
      </c>
      <c r="K301" s="115"/>
      <c r="L301" s="115" t="s">
        <v>25</v>
      </c>
      <c r="M301" s="115"/>
      <c r="O301" s="112"/>
      <c r="P301" s="115" t="s">
        <v>24</v>
      </c>
      <c r="R301" s="115"/>
    </row>
    <row r="302" spans="1:18" x14ac:dyDescent="0.25">
      <c r="A302" s="115" t="s">
        <v>26</v>
      </c>
      <c r="B302" s="115"/>
      <c r="C302" s="115" t="s">
        <v>27</v>
      </c>
      <c r="D302" s="115" t="s">
        <v>27</v>
      </c>
      <c r="E302" s="113"/>
      <c r="F302" s="115" t="s">
        <v>28</v>
      </c>
      <c r="G302" s="115"/>
      <c r="H302" s="115" t="s">
        <v>29</v>
      </c>
      <c r="I302" s="115"/>
      <c r="J302" s="115" t="s">
        <v>24</v>
      </c>
      <c r="K302" s="113"/>
      <c r="L302" s="115" t="s">
        <v>24</v>
      </c>
      <c r="M302" s="111"/>
      <c r="N302" s="115" t="s">
        <v>30</v>
      </c>
      <c r="O302" s="114"/>
      <c r="P302" s="113" t="s">
        <v>29</v>
      </c>
      <c r="Q302" s="113"/>
      <c r="R302" s="115" t="s">
        <v>31</v>
      </c>
    </row>
    <row r="303" spans="1:18" ht="13.8" thickBot="1" x14ac:dyDescent="0.3">
      <c r="A303" s="116" t="s">
        <v>32</v>
      </c>
      <c r="B303" s="116"/>
      <c r="C303" s="116" t="s">
        <v>33</v>
      </c>
      <c r="D303" s="116" t="s">
        <v>34</v>
      </c>
      <c r="E303" s="116"/>
      <c r="F303" s="117" t="s">
        <v>35</v>
      </c>
      <c r="G303" s="117"/>
      <c r="H303" s="117" t="s">
        <v>36</v>
      </c>
      <c r="I303" s="118"/>
      <c r="J303" s="117" t="s">
        <v>37</v>
      </c>
      <c r="K303" s="118"/>
      <c r="L303" s="118" t="s">
        <v>38</v>
      </c>
      <c r="M303" s="119"/>
      <c r="N303" s="119" t="s">
        <v>39</v>
      </c>
      <c r="O303" s="120"/>
      <c r="P303" s="119" t="s">
        <v>40</v>
      </c>
      <c r="Q303" s="119"/>
      <c r="R303" s="119" t="s">
        <v>41</v>
      </c>
    </row>
    <row r="304" spans="1:18" x14ac:dyDescent="0.25">
      <c r="A304" s="115">
        <v>1</v>
      </c>
      <c r="B304" s="121"/>
      <c r="O304" s="112"/>
    </row>
    <row r="305" spans="1:18" x14ac:dyDescent="0.25">
      <c r="A305" s="115">
        <f>A304+1</f>
        <v>2</v>
      </c>
      <c r="B305" s="121"/>
      <c r="C305" s="115"/>
      <c r="D305" s="136" t="s">
        <v>113</v>
      </c>
      <c r="F305" s="130"/>
      <c r="H305" s="13"/>
      <c r="I305" s="14"/>
      <c r="J305" s="14"/>
      <c r="K305" s="14"/>
      <c r="L305" s="14"/>
      <c r="M305" s="14"/>
      <c r="N305" s="14"/>
      <c r="O305" s="14"/>
      <c r="P305" s="12"/>
      <c r="Q305" s="14"/>
      <c r="R305" s="14"/>
    </row>
    <row r="306" spans="1:18" x14ac:dyDescent="0.25">
      <c r="A306" s="115">
        <f t="shared" ref="A306:A347" si="5">A305+1</f>
        <v>3</v>
      </c>
      <c r="B306" s="121"/>
      <c r="C306" s="113">
        <v>34132</v>
      </c>
      <c r="D306" s="110" t="s">
        <v>45</v>
      </c>
      <c r="F306" s="125">
        <f>VLOOKUP($C306,'ASDR FY1'!$A:$X,F$15,FALSE)*100</f>
        <v>3.5000000000000004</v>
      </c>
      <c r="G306" s="112"/>
      <c r="H306" s="7">
        <f>VLOOKUP($C306,'ASDR FY1'!$A:$X,H$15,FALSE)/1000</f>
        <v>27131.136169999998</v>
      </c>
      <c r="I306" s="8"/>
      <c r="J306" s="7">
        <f>VLOOKUP($C306,'ASDR FY1'!$A:$X,J$15,FALSE)/1000</f>
        <v>0</v>
      </c>
      <c r="K306" s="9"/>
      <c r="L306" s="7">
        <f>VLOOKUP($C306,'ASDR FY1'!$A:$X,L$15,FALSE)/1000</f>
        <v>0</v>
      </c>
      <c r="M306" s="9"/>
      <c r="N306" s="7">
        <f>VLOOKUP($C306,'ASDR FY1'!$A:$X,N$14,FALSE)/1000+VLOOKUP($C306,'ASDR FY1'!$A:$X,N$15,FALSE)/1000</f>
        <v>0</v>
      </c>
      <c r="O306" s="8"/>
      <c r="P306" s="7">
        <f>SUM(H306,J306,L306,N306)</f>
        <v>27131.136169999998</v>
      </c>
      <c r="Q306" s="9"/>
      <c r="R306" s="7">
        <f>VLOOKUP($C306,'ASDR FY1'!$A:$X,R$15,FALSE)/1000</f>
        <v>27131.136170000002</v>
      </c>
    </row>
    <row r="307" spans="1:18" x14ac:dyDescent="0.25">
      <c r="A307" s="115">
        <f t="shared" si="5"/>
        <v>4</v>
      </c>
      <c r="B307" s="121"/>
      <c r="C307" s="113">
        <v>34232</v>
      </c>
      <c r="D307" s="110" t="s">
        <v>81</v>
      </c>
      <c r="F307" s="125">
        <f>VLOOKUP($C307,'ASDR FY1'!$A:$X,F$15,FALSE)*100</f>
        <v>3.9</v>
      </c>
      <c r="G307" s="112"/>
      <c r="H307" s="7">
        <f>VLOOKUP($C307,'ASDR FY1'!$A:$X,H$15,FALSE)/1000</f>
        <v>106332.77890999998</v>
      </c>
      <c r="I307" s="8"/>
      <c r="J307" s="7">
        <f>VLOOKUP($C307,'ASDR FY1'!$A:$X,J$15,FALSE)/1000</f>
        <v>45446.681779999999</v>
      </c>
      <c r="K307" s="9"/>
      <c r="L307" s="7">
        <f>VLOOKUP($C307,'ASDR FY1'!$A:$X,L$15,FALSE)/1000</f>
        <v>-9089.3363699999991</v>
      </c>
      <c r="M307" s="9"/>
      <c r="N307" s="7">
        <f>VLOOKUP($C307,'ASDR FY1'!$A:$X,N$14,FALSE)/1000+VLOOKUP($C307,'ASDR FY1'!$A:$X,N$15,FALSE)/1000</f>
        <v>0</v>
      </c>
      <c r="O307" s="8"/>
      <c r="P307" s="7">
        <f>SUM(H307,J307,L307,N307)</f>
        <v>142690.12431999997</v>
      </c>
      <c r="Q307" s="9"/>
      <c r="R307" s="7">
        <f>VLOOKUP($C307,'ASDR FY1'!$A:$X,R$15,FALSE)/1000</f>
        <v>126971.98285</v>
      </c>
    </row>
    <row r="308" spans="1:18" x14ac:dyDescent="0.25">
      <c r="A308" s="115">
        <f t="shared" si="5"/>
        <v>5</v>
      </c>
      <c r="B308" s="121"/>
      <c r="C308" s="113">
        <v>34332</v>
      </c>
      <c r="D308" s="110" t="s">
        <v>82</v>
      </c>
      <c r="F308" s="125">
        <f>VLOOKUP($C308,'ASDR FY1'!$A:$X,F$15,FALSE)*100</f>
        <v>6.2</v>
      </c>
      <c r="G308" s="112"/>
      <c r="H308" s="7">
        <f>VLOOKUP($C308,'ASDR FY1'!$A:$X,H$15,FALSE)/1000</f>
        <v>289022.23757999996</v>
      </c>
      <c r="I308" s="8"/>
      <c r="J308" s="7">
        <f>VLOOKUP($C308,'ASDR FY1'!$A:$X,J$15,FALSE)/1000</f>
        <v>45446.681779999999</v>
      </c>
      <c r="K308" s="9"/>
      <c r="L308" s="7">
        <f>VLOOKUP($C308,'ASDR FY1'!$A:$X,L$15,FALSE)/1000</f>
        <v>-9089.3363699999991</v>
      </c>
      <c r="M308" s="9"/>
      <c r="N308" s="7">
        <f>VLOOKUP($C308,'ASDR FY1'!$A:$X,N$14,FALSE)/1000+VLOOKUP($C308,'ASDR FY1'!$A:$X,N$15,FALSE)/1000</f>
        <v>0</v>
      </c>
      <c r="O308" s="8"/>
      <c r="P308" s="7">
        <f>SUM(H308,J308,L308,N308)</f>
        <v>325379.58298999997</v>
      </c>
      <c r="Q308" s="9"/>
      <c r="R308" s="7">
        <f>VLOOKUP($C308,'ASDR FY1'!$A:$X,R$15,FALSE)/1000</f>
        <v>309661.44151999999</v>
      </c>
    </row>
    <row r="309" spans="1:18" x14ac:dyDescent="0.25">
      <c r="A309" s="115">
        <f t="shared" si="5"/>
        <v>6</v>
      </c>
      <c r="B309" s="121"/>
      <c r="C309" s="113">
        <v>34532</v>
      </c>
      <c r="D309" s="110" t="s">
        <v>48</v>
      </c>
      <c r="F309" s="125">
        <f>VLOOKUP($C309,'ASDR FY1'!$A:$X,F$15,FALSE)*100</f>
        <v>4.1000000000000005</v>
      </c>
      <c r="G309" s="112"/>
      <c r="H309" s="7">
        <f>VLOOKUP($C309,'ASDR FY1'!$A:$X,H$15,FALSE)/1000</f>
        <v>44600.816679999996</v>
      </c>
      <c r="I309" s="8"/>
      <c r="J309" s="7">
        <f>VLOOKUP($C309,'ASDR FY1'!$A:$X,J$15,FALSE)/1000</f>
        <v>122.31988</v>
      </c>
      <c r="K309" s="9"/>
      <c r="L309" s="7">
        <f>VLOOKUP($C309,'ASDR FY1'!$A:$X,L$15,FALSE)/1000</f>
        <v>-24.463979999999999</v>
      </c>
      <c r="M309" s="9"/>
      <c r="N309" s="7">
        <f>VLOOKUP($C309,'ASDR FY1'!$A:$X,N$14,FALSE)/1000+VLOOKUP($C309,'ASDR FY1'!$A:$X,N$15,FALSE)/1000</f>
        <v>0</v>
      </c>
      <c r="O309" s="8"/>
      <c r="P309" s="7">
        <f>SUM(H309,J309,L309,N309)</f>
        <v>44698.672579999999</v>
      </c>
      <c r="Q309" s="9"/>
      <c r="R309" s="7">
        <f>VLOOKUP($C309,'ASDR FY1'!$A:$X,R$15,FALSE)/1000</f>
        <v>44691.145200000006</v>
      </c>
    </row>
    <row r="310" spans="1:18" x14ac:dyDescent="0.25">
      <c r="A310" s="115">
        <f t="shared" si="5"/>
        <v>7</v>
      </c>
      <c r="B310" s="121"/>
      <c r="C310" s="113">
        <v>34632</v>
      </c>
      <c r="D310" s="110" t="s">
        <v>49</v>
      </c>
      <c r="F310" s="125">
        <f>VLOOKUP($C310,'ASDR FY1'!$A:$X,F$15,FALSE)*100</f>
        <v>3.3000000000000003</v>
      </c>
      <c r="G310" s="112"/>
      <c r="H310" s="7">
        <f>VLOOKUP($C310,'ASDR FY1'!$A:$X,H$15,FALSE)/1000</f>
        <v>1455.5923500000001</v>
      </c>
      <c r="I310" s="8"/>
      <c r="J310" s="7">
        <f>VLOOKUP($C310,'ASDR FY1'!$A:$X,J$15,FALSE)/1000</f>
        <v>0</v>
      </c>
      <c r="K310" s="9"/>
      <c r="L310" s="7">
        <f>VLOOKUP($C310,'ASDR FY1'!$A:$X,L$15,FALSE)/1000</f>
        <v>0</v>
      </c>
      <c r="M310" s="9"/>
      <c r="N310" s="7">
        <f>VLOOKUP($C310,'ASDR FY1'!$A:$X,N$14,FALSE)/1000+VLOOKUP($C310,'ASDR FY1'!$A:$X,N$15,FALSE)/1000</f>
        <v>0</v>
      </c>
      <c r="O310" s="8"/>
      <c r="P310" s="7">
        <f>SUM(H310,J310,L310,N310)</f>
        <v>1455.5923500000001</v>
      </c>
      <c r="Q310" s="9"/>
      <c r="R310" s="7">
        <f>VLOOKUP($C310,'ASDR FY1'!$A:$X,R$15,FALSE)/1000</f>
        <v>1455.5923500000001</v>
      </c>
    </row>
    <row r="311" spans="1:18" x14ac:dyDescent="0.25">
      <c r="A311" s="115">
        <f t="shared" si="5"/>
        <v>8</v>
      </c>
      <c r="B311" s="121"/>
      <c r="C311" s="115"/>
      <c r="D311" s="136" t="s">
        <v>114</v>
      </c>
      <c r="F311" s="125"/>
      <c r="H311" s="11">
        <f>SUM(H306:H310)</f>
        <v>468542.56168999989</v>
      </c>
      <c r="I311" s="14"/>
      <c r="J311" s="11">
        <f>SUM(J306:J310)</f>
        <v>91015.683439999993</v>
      </c>
      <c r="K311" s="14"/>
      <c r="L311" s="11">
        <f>SUM(L306:L310)</f>
        <v>-18203.136719999999</v>
      </c>
      <c r="M311" s="14"/>
      <c r="N311" s="11">
        <f>SUM(N306:N310)</f>
        <v>0</v>
      </c>
      <c r="O311" s="14"/>
      <c r="P311" s="11">
        <f>SUM(P306:P310)</f>
        <v>541355.10840999999</v>
      </c>
      <c r="Q311" s="14"/>
      <c r="R311" s="11">
        <f>SUM(R306:R310)</f>
        <v>509911.29809</v>
      </c>
    </row>
    <row r="312" spans="1:18" x14ac:dyDescent="0.25">
      <c r="A312" s="115">
        <f t="shared" si="5"/>
        <v>9</v>
      </c>
      <c r="B312" s="121"/>
      <c r="F312" s="126"/>
      <c r="O312" s="112"/>
    </row>
    <row r="313" spans="1:18" x14ac:dyDescent="0.25">
      <c r="A313" s="115">
        <f t="shared" si="5"/>
        <v>10</v>
      </c>
      <c r="B313" s="121"/>
      <c r="C313" s="115"/>
      <c r="D313" s="136" t="s">
        <v>115</v>
      </c>
      <c r="F313" s="126"/>
      <c r="I313" s="14"/>
      <c r="K313" s="14"/>
      <c r="M313" s="14"/>
      <c r="O313" s="14"/>
      <c r="Q313" s="14"/>
    </row>
    <row r="314" spans="1:18" x14ac:dyDescent="0.25">
      <c r="A314" s="115">
        <f t="shared" si="5"/>
        <v>11</v>
      </c>
      <c r="B314" s="121"/>
      <c r="C314" s="113">
        <v>34133</v>
      </c>
      <c r="D314" s="110" t="s">
        <v>45</v>
      </c>
      <c r="F314" s="125">
        <f>VLOOKUP($C314,'ASDR FY1'!$A:$X,F$15,FALSE)*100</f>
        <v>3.5000000000000004</v>
      </c>
      <c r="G314" s="112"/>
      <c r="H314" s="7">
        <f>VLOOKUP($C314,'ASDR FY1'!$A:$X,H$15,FALSE)/1000</f>
        <v>656.34929</v>
      </c>
      <c r="I314" s="8"/>
      <c r="J314" s="7">
        <f>VLOOKUP($C314,'ASDR FY1'!$A:$X,J$15,FALSE)/1000</f>
        <v>0</v>
      </c>
      <c r="K314" s="9"/>
      <c r="L314" s="7">
        <f>VLOOKUP($C314,'ASDR FY1'!$A:$X,L$15,FALSE)/1000</f>
        <v>0</v>
      </c>
      <c r="M314" s="9"/>
      <c r="N314" s="7">
        <f>VLOOKUP($C314,'ASDR FY1'!$A:$X,N$14,FALSE)/1000+VLOOKUP($C314,'ASDR FY1'!$A:$X,N$15,FALSE)/1000</f>
        <v>0</v>
      </c>
      <c r="O314" s="8"/>
      <c r="P314" s="7">
        <f>SUM(H314,J314,L314,N314)</f>
        <v>656.34929</v>
      </c>
      <c r="Q314" s="9"/>
      <c r="R314" s="7">
        <f>VLOOKUP($C314,'ASDR FY1'!$A:$X,R$15,FALSE)/1000</f>
        <v>656.34929</v>
      </c>
    </row>
    <row r="315" spans="1:18" x14ac:dyDescent="0.25">
      <c r="A315" s="115">
        <f t="shared" si="5"/>
        <v>12</v>
      </c>
      <c r="B315" s="121"/>
      <c r="C315" s="113">
        <v>34233</v>
      </c>
      <c r="D315" s="110" t="s">
        <v>81</v>
      </c>
      <c r="F315" s="125">
        <f>VLOOKUP($C315,'ASDR FY1'!$A:$X,F$15,FALSE)*100</f>
        <v>3.2</v>
      </c>
      <c r="G315" s="112"/>
      <c r="H315" s="7">
        <f>VLOOKUP($C315,'ASDR FY1'!$A:$X,H$15,FALSE)/1000</f>
        <v>3504.8771499999998</v>
      </c>
      <c r="I315" s="8"/>
      <c r="J315" s="7">
        <f>VLOOKUP($C315,'ASDR FY1'!$A:$X,J$15,FALSE)/1000</f>
        <v>1495.1864499999999</v>
      </c>
      <c r="K315" s="9"/>
      <c r="L315" s="7">
        <f>VLOOKUP($C315,'ASDR FY1'!$A:$X,L$15,FALSE)/1000</f>
        <v>-299.03730999999999</v>
      </c>
      <c r="M315" s="9"/>
      <c r="N315" s="7">
        <f>VLOOKUP($C315,'ASDR FY1'!$A:$X,N$14,FALSE)/1000+VLOOKUP($C315,'ASDR FY1'!$A:$X,N$15,FALSE)/1000</f>
        <v>0</v>
      </c>
      <c r="O315" s="8"/>
      <c r="P315" s="7">
        <f>SUM(H315,J315,L315,N315)</f>
        <v>4701.0262899999998</v>
      </c>
      <c r="Q315" s="9"/>
      <c r="R315" s="7">
        <f>VLOOKUP($C315,'ASDR FY1'!$A:$X,R$15,FALSE)/1000</f>
        <v>4223.3310599999995</v>
      </c>
    </row>
    <row r="316" spans="1:18" x14ac:dyDescent="0.25">
      <c r="A316" s="115">
        <f t="shared" si="5"/>
        <v>13</v>
      </c>
      <c r="B316" s="121"/>
      <c r="C316" s="113">
        <v>34333</v>
      </c>
      <c r="D316" s="110" t="s">
        <v>82</v>
      </c>
      <c r="F316" s="125">
        <f>VLOOKUP($C316,'ASDR FY1'!$A:$X,F$15,FALSE)*100</f>
        <v>3.1</v>
      </c>
      <c r="G316" s="112"/>
      <c r="H316" s="7">
        <f>VLOOKUP($C316,'ASDR FY1'!$A:$X,H$15,FALSE)/1000</f>
        <v>15603.99388</v>
      </c>
      <c r="I316" s="8"/>
      <c r="J316" s="7">
        <f>VLOOKUP($C316,'ASDR FY1'!$A:$X,J$15,FALSE)/1000</f>
        <v>1495.1864499999999</v>
      </c>
      <c r="K316" s="9"/>
      <c r="L316" s="7">
        <f>VLOOKUP($C316,'ASDR FY1'!$A:$X,L$15,FALSE)/1000</f>
        <v>-299.03730999999999</v>
      </c>
      <c r="M316" s="9"/>
      <c r="N316" s="7">
        <f>VLOOKUP($C316,'ASDR FY1'!$A:$X,N$14,FALSE)/1000+VLOOKUP($C316,'ASDR FY1'!$A:$X,N$15,FALSE)/1000</f>
        <v>0</v>
      </c>
      <c r="O316" s="8"/>
      <c r="P316" s="7">
        <f>SUM(H316,J316,L316,N316)</f>
        <v>16800.14302</v>
      </c>
      <c r="Q316" s="9"/>
      <c r="R316" s="7">
        <f>VLOOKUP($C316,'ASDR FY1'!$A:$X,R$15,FALSE)/1000</f>
        <v>16322.447789999998</v>
      </c>
    </row>
    <row r="317" spans="1:18" x14ac:dyDescent="0.25">
      <c r="A317" s="115">
        <f t="shared" si="5"/>
        <v>14</v>
      </c>
      <c r="B317" s="121"/>
      <c r="C317" s="113">
        <v>34533</v>
      </c>
      <c r="D317" s="110" t="s">
        <v>48</v>
      </c>
      <c r="F317" s="125">
        <f>VLOOKUP($C317,'ASDR FY1'!$A:$X,F$15,FALSE)*100</f>
        <v>2.7</v>
      </c>
      <c r="G317" s="112"/>
      <c r="H317" s="7">
        <f>VLOOKUP($C317,'ASDR FY1'!$A:$X,H$15,FALSE)/1000</f>
        <v>14174.190639999999</v>
      </c>
      <c r="I317" s="8"/>
      <c r="J317" s="7">
        <f>VLOOKUP($C317,'ASDR FY1'!$A:$X,J$15,FALSE)/1000</f>
        <v>0</v>
      </c>
      <c r="K317" s="9"/>
      <c r="L317" s="7">
        <f>VLOOKUP($C317,'ASDR FY1'!$A:$X,L$15,FALSE)/1000</f>
        <v>0</v>
      </c>
      <c r="M317" s="9"/>
      <c r="N317" s="7">
        <f>VLOOKUP($C317,'ASDR FY1'!$A:$X,N$14,FALSE)/1000+VLOOKUP($C317,'ASDR FY1'!$A:$X,N$15,FALSE)/1000</f>
        <v>0</v>
      </c>
      <c r="O317" s="8"/>
      <c r="P317" s="7">
        <f>SUM(H317,J317,L317,N317)</f>
        <v>14174.190639999999</v>
      </c>
      <c r="Q317" s="9"/>
      <c r="R317" s="7">
        <f>VLOOKUP($C317,'ASDR FY1'!$A:$X,R$15,FALSE)/1000</f>
        <v>14174.190640000001</v>
      </c>
    </row>
    <row r="318" spans="1:18" x14ac:dyDescent="0.25">
      <c r="A318" s="115">
        <f t="shared" si="5"/>
        <v>15</v>
      </c>
      <c r="B318" s="121"/>
      <c r="C318" s="113">
        <v>34633</v>
      </c>
      <c r="D318" s="110" t="s">
        <v>49</v>
      </c>
      <c r="F318" s="125">
        <f>VLOOKUP($C318,'ASDR FY1'!$A:$X,F$15,FALSE)*100</f>
        <v>3.4000000000000004</v>
      </c>
      <c r="G318" s="112"/>
      <c r="H318" s="7">
        <f>VLOOKUP($C318,'ASDR FY1'!$A:$X,H$15,FALSE)/1000</f>
        <v>0.90461000000000003</v>
      </c>
      <c r="I318" s="8"/>
      <c r="J318" s="7">
        <f>VLOOKUP($C318,'ASDR FY1'!$A:$X,J$15,FALSE)/1000</f>
        <v>0</v>
      </c>
      <c r="K318" s="9"/>
      <c r="L318" s="7">
        <f>VLOOKUP($C318,'ASDR FY1'!$A:$X,L$15,FALSE)/1000</f>
        <v>0</v>
      </c>
      <c r="M318" s="9"/>
      <c r="N318" s="7">
        <f>VLOOKUP($C318,'ASDR FY1'!$A:$X,N$14,FALSE)/1000+VLOOKUP($C318,'ASDR FY1'!$A:$X,N$15,FALSE)/1000</f>
        <v>0</v>
      </c>
      <c r="O318" s="8"/>
      <c r="P318" s="7">
        <f>SUM(H318,J318,L318,N318)</f>
        <v>0.90461000000000003</v>
      </c>
      <c r="Q318" s="9"/>
      <c r="R318" s="7">
        <f>VLOOKUP($C318,'ASDR FY1'!$A:$X,R$15,FALSE)/1000</f>
        <v>0.90461000000000003</v>
      </c>
    </row>
    <row r="319" spans="1:18" x14ac:dyDescent="0.25">
      <c r="A319" s="115">
        <f t="shared" si="5"/>
        <v>16</v>
      </c>
      <c r="B319" s="121"/>
      <c r="D319" s="136" t="s">
        <v>116</v>
      </c>
      <c r="F319" s="125"/>
      <c r="H319" s="11">
        <f>SUM(H314:H318)</f>
        <v>33940.315569999999</v>
      </c>
      <c r="I319" s="14"/>
      <c r="J319" s="11">
        <f>SUM(J314:J318)</f>
        <v>2990.3728999999998</v>
      </c>
      <c r="K319" s="14"/>
      <c r="L319" s="11">
        <f>SUM(L314:L318)</f>
        <v>-598.07461999999998</v>
      </c>
      <c r="M319" s="14"/>
      <c r="N319" s="11">
        <f>SUM(N314:N318)</f>
        <v>0</v>
      </c>
      <c r="O319" s="14"/>
      <c r="P319" s="11">
        <f>SUM(P314:P318)</f>
        <v>36332.613849999994</v>
      </c>
      <c r="Q319" s="14"/>
      <c r="R319" s="11">
        <f>SUM(R314:R318)</f>
        <v>35377.223389999999</v>
      </c>
    </row>
    <row r="320" spans="1:18" x14ac:dyDescent="0.25">
      <c r="A320" s="115">
        <f t="shared" si="5"/>
        <v>17</v>
      </c>
      <c r="B320" s="121"/>
      <c r="F320" s="126"/>
      <c r="O320" s="112"/>
    </row>
    <row r="321" spans="1:18" x14ac:dyDescent="0.25">
      <c r="A321" s="115">
        <f t="shared" si="5"/>
        <v>18</v>
      </c>
      <c r="B321" s="121"/>
      <c r="C321" s="115"/>
      <c r="D321" s="136" t="s">
        <v>117</v>
      </c>
      <c r="F321" s="126"/>
      <c r="I321" s="14"/>
      <c r="K321" s="14"/>
      <c r="M321" s="14"/>
      <c r="O321" s="14"/>
      <c r="Q321" s="14"/>
    </row>
    <row r="322" spans="1:18" x14ac:dyDescent="0.25">
      <c r="A322" s="115">
        <f t="shared" si="5"/>
        <v>19</v>
      </c>
      <c r="B322" s="121"/>
      <c r="C322" s="113">
        <v>34134</v>
      </c>
      <c r="D322" s="110" t="s">
        <v>45</v>
      </c>
      <c r="F322" s="125">
        <f>VLOOKUP($C322,'ASDR FY1'!$A:$X,F$15,FALSE)*100</f>
        <v>5.0999999999999996</v>
      </c>
      <c r="G322" s="112"/>
      <c r="H322" s="7">
        <f>VLOOKUP($C322,'ASDR FY1'!$A:$X,H$15,FALSE)/1000</f>
        <v>242.33395999999999</v>
      </c>
      <c r="I322" s="8"/>
      <c r="J322" s="7">
        <f>VLOOKUP($C322,'ASDR FY1'!$A:$X,J$15,FALSE)/1000</f>
        <v>0</v>
      </c>
      <c r="K322" s="9"/>
      <c r="L322" s="7">
        <f>VLOOKUP($C322,'ASDR FY1'!$A:$X,L$15,FALSE)/1000</f>
        <v>0</v>
      </c>
      <c r="M322" s="9"/>
      <c r="N322" s="7">
        <f>VLOOKUP($C322,'ASDR FY1'!$A:$X,N$14,FALSE)/1000+VLOOKUP($C322,'ASDR FY1'!$A:$X,N$15,FALSE)/1000</f>
        <v>0</v>
      </c>
      <c r="O322" s="8"/>
      <c r="P322" s="7">
        <f>SUM(H322,J322,L322,N322)</f>
        <v>242.33395999999999</v>
      </c>
      <c r="Q322" s="9"/>
      <c r="R322" s="7">
        <f>VLOOKUP($C322,'ASDR FY1'!$A:$X,R$15,FALSE)/1000</f>
        <v>242.33395999999999</v>
      </c>
    </row>
    <row r="323" spans="1:18" x14ac:dyDescent="0.25">
      <c r="A323" s="115">
        <f t="shared" si="5"/>
        <v>20</v>
      </c>
      <c r="B323" s="121"/>
      <c r="C323" s="113">
        <v>34234</v>
      </c>
      <c r="D323" s="110" t="s">
        <v>81</v>
      </c>
      <c r="F323" s="125">
        <f>VLOOKUP($C323,'ASDR FY1'!$A:$X,F$15,FALSE)*100</f>
        <v>3.2</v>
      </c>
      <c r="G323" s="112"/>
      <c r="H323" s="7">
        <f>VLOOKUP($C323,'ASDR FY1'!$A:$X,H$15,FALSE)/1000</f>
        <v>3362.08259</v>
      </c>
      <c r="I323" s="8"/>
      <c r="J323" s="7">
        <f>VLOOKUP($C323,'ASDR FY1'!$A:$X,J$15,FALSE)/1000</f>
        <v>27.518709999999999</v>
      </c>
      <c r="K323" s="9"/>
      <c r="L323" s="7">
        <f>VLOOKUP($C323,'ASDR FY1'!$A:$X,L$15,FALSE)/1000</f>
        <v>-5.5037399999999996</v>
      </c>
      <c r="M323" s="9"/>
      <c r="N323" s="7">
        <f>VLOOKUP($C323,'ASDR FY1'!$A:$X,N$14,FALSE)/1000+VLOOKUP($C323,'ASDR FY1'!$A:$X,N$15,FALSE)/1000</f>
        <v>0</v>
      </c>
      <c r="O323" s="8"/>
      <c r="P323" s="7">
        <f>SUM(H323,J323,L323,N323)</f>
        <v>3384.0975599999997</v>
      </c>
      <c r="Q323" s="9"/>
      <c r="R323" s="7">
        <f>VLOOKUP($C323,'ASDR FY1'!$A:$X,R$15,FALSE)/1000</f>
        <v>3379.0171800000003</v>
      </c>
    </row>
    <row r="324" spans="1:18" x14ac:dyDescent="0.25">
      <c r="A324" s="115">
        <f t="shared" si="5"/>
        <v>21</v>
      </c>
      <c r="B324" s="121"/>
      <c r="C324" s="113">
        <v>34334</v>
      </c>
      <c r="D324" s="110" t="s">
        <v>82</v>
      </c>
      <c r="F324" s="125">
        <f>VLOOKUP($C324,'ASDR FY1'!$A:$X,F$15,FALSE)*100</f>
        <v>3.2</v>
      </c>
      <c r="G324" s="112"/>
      <c r="H324" s="7">
        <f>VLOOKUP($C324,'ASDR FY1'!$A:$X,H$15,FALSE)/1000</f>
        <v>16030.09</v>
      </c>
      <c r="I324" s="8"/>
      <c r="J324" s="7">
        <f>VLOOKUP($C324,'ASDR FY1'!$A:$X,J$15,FALSE)/1000</f>
        <v>27.518709999999999</v>
      </c>
      <c r="K324" s="9"/>
      <c r="L324" s="7">
        <f>VLOOKUP($C324,'ASDR FY1'!$A:$X,L$15,FALSE)/1000</f>
        <v>-5.5037399999999996</v>
      </c>
      <c r="M324" s="9"/>
      <c r="N324" s="7">
        <f>VLOOKUP($C324,'ASDR FY1'!$A:$X,N$14,FALSE)/1000+VLOOKUP($C324,'ASDR FY1'!$A:$X,N$15,FALSE)/1000</f>
        <v>0</v>
      </c>
      <c r="O324" s="8"/>
      <c r="P324" s="7">
        <f>SUM(H324,J324,L324,N324)</f>
        <v>16052.10497</v>
      </c>
      <c r="Q324" s="9"/>
      <c r="R324" s="7">
        <f>VLOOKUP($C324,'ASDR FY1'!$A:$X,R$15,FALSE)/1000</f>
        <v>16047.024589999999</v>
      </c>
    </row>
    <row r="325" spans="1:18" x14ac:dyDescent="0.25">
      <c r="A325" s="115">
        <f t="shared" si="5"/>
        <v>22</v>
      </c>
      <c r="B325" s="121"/>
      <c r="C325" s="113">
        <v>34534</v>
      </c>
      <c r="D325" s="110" t="s">
        <v>48</v>
      </c>
      <c r="F325" s="125">
        <f>VLOOKUP($C325,'ASDR FY1'!$A:$X,F$15,FALSE)*100</f>
        <v>2.8000000000000003</v>
      </c>
      <c r="G325" s="112"/>
      <c r="H325" s="7">
        <f>VLOOKUP($C325,'ASDR FY1'!$A:$X,H$15,FALSE)/1000</f>
        <v>4189.43102</v>
      </c>
      <c r="I325" s="8"/>
      <c r="J325" s="7">
        <f>VLOOKUP($C325,'ASDR FY1'!$A:$X,J$15,FALSE)/1000</f>
        <v>0</v>
      </c>
      <c r="K325" s="9"/>
      <c r="L325" s="7">
        <f>VLOOKUP($C325,'ASDR FY1'!$A:$X,L$15,FALSE)/1000</f>
        <v>0</v>
      </c>
      <c r="M325" s="9"/>
      <c r="N325" s="7">
        <f>VLOOKUP($C325,'ASDR FY1'!$A:$X,N$14,FALSE)/1000+VLOOKUP($C325,'ASDR FY1'!$A:$X,N$15,FALSE)/1000</f>
        <v>0</v>
      </c>
      <c r="O325" s="8"/>
      <c r="P325" s="7">
        <f>SUM(H325,J325,L325,N325)</f>
        <v>4189.43102</v>
      </c>
      <c r="Q325" s="9"/>
      <c r="R325" s="7">
        <f>VLOOKUP($C325,'ASDR FY1'!$A:$X,R$15,FALSE)/1000</f>
        <v>4189.43102</v>
      </c>
    </row>
    <row r="326" spans="1:18" x14ac:dyDescent="0.25">
      <c r="A326" s="115">
        <f t="shared" si="5"/>
        <v>23</v>
      </c>
      <c r="B326" s="121"/>
      <c r="C326" s="113">
        <v>34634</v>
      </c>
      <c r="D326" s="110" t="s">
        <v>49</v>
      </c>
      <c r="F326" s="125">
        <f>VLOOKUP($C326,'ASDR FY1'!$A:$X,F$15,FALSE)*100</f>
        <v>3.4000000000000004</v>
      </c>
      <c r="G326" s="112"/>
      <c r="H326" s="7">
        <f>VLOOKUP($C326,'ASDR FY1'!$A:$X,H$15,FALSE)/1000</f>
        <v>0.90461000000000003</v>
      </c>
      <c r="I326" s="8"/>
      <c r="J326" s="7">
        <f>VLOOKUP($C326,'ASDR FY1'!$A:$X,J$15,FALSE)/1000</f>
        <v>0</v>
      </c>
      <c r="K326" s="9"/>
      <c r="L326" s="7">
        <f>VLOOKUP($C326,'ASDR FY1'!$A:$X,L$15,FALSE)/1000</f>
        <v>0</v>
      </c>
      <c r="M326" s="9"/>
      <c r="N326" s="7">
        <f>VLOOKUP($C326,'ASDR FY1'!$A:$X,N$14,FALSE)/1000+VLOOKUP($C326,'ASDR FY1'!$A:$X,N$15,FALSE)/1000</f>
        <v>0</v>
      </c>
      <c r="O326" s="8"/>
      <c r="P326" s="7">
        <f>SUM(H326,J326,L326,N326)</f>
        <v>0.90461000000000003</v>
      </c>
      <c r="Q326" s="9"/>
      <c r="R326" s="7">
        <f>VLOOKUP($C326,'ASDR FY1'!$A:$X,R$15,FALSE)/1000</f>
        <v>0.90461000000000003</v>
      </c>
    </row>
    <row r="327" spans="1:18" x14ac:dyDescent="0.25">
      <c r="A327" s="115">
        <f t="shared" si="5"/>
        <v>24</v>
      </c>
      <c r="B327" s="121"/>
      <c r="C327" s="115"/>
      <c r="D327" s="136" t="s">
        <v>118</v>
      </c>
      <c r="F327" s="125"/>
      <c r="H327" s="11">
        <f>SUM(H322:H326)</f>
        <v>23824.84218</v>
      </c>
      <c r="I327" s="14"/>
      <c r="J327" s="11">
        <f>SUM(J322:J326)</f>
        <v>55.037419999999997</v>
      </c>
      <c r="K327" s="14"/>
      <c r="L327" s="11">
        <f>SUM(L322:L326)</f>
        <v>-11.007479999999999</v>
      </c>
      <c r="M327" s="14"/>
      <c r="N327" s="11">
        <f>SUM(N322:N326)</f>
        <v>0</v>
      </c>
      <c r="O327" s="14"/>
      <c r="P327" s="11">
        <f>SUM(P322:P326)</f>
        <v>23868.87212</v>
      </c>
      <c r="Q327" s="14"/>
      <c r="R327" s="11">
        <f>SUM(R322:R326)</f>
        <v>23858.711360000001</v>
      </c>
    </row>
    <row r="328" spans="1:18" x14ac:dyDescent="0.25">
      <c r="A328" s="115">
        <f t="shared" si="5"/>
        <v>25</v>
      </c>
      <c r="B328" s="121"/>
      <c r="F328" s="126"/>
      <c r="O328" s="112"/>
    </row>
    <row r="329" spans="1:18" x14ac:dyDescent="0.25">
      <c r="A329" s="115">
        <f t="shared" si="5"/>
        <v>26</v>
      </c>
      <c r="B329" s="121"/>
      <c r="C329" s="125"/>
      <c r="D329" s="136" t="s">
        <v>119</v>
      </c>
      <c r="E329" s="115"/>
      <c r="F329" s="125"/>
      <c r="G329" s="138"/>
      <c r="H329" s="138"/>
      <c r="I329" s="144"/>
      <c r="J329" s="138"/>
      <c r="K329" s="144"/>
      <c r="L329" s="144"/>
      <c r="M329" s="113"/>
      <c r="N329" s="113"/>
      <c r="O329" s="114"/>
      <c r="P329" s="113"/>
      <c r="Q329" s="113"/>
      <c r="R329" s="113"/>
    </row>
    <row r="330" spans="1:18" x14ac:dyDescent="0.25">
      <c r="A330" s="115">
        <f t="shared" si="5"/>
        <v>27</v>
      </c>
      <c r="B330" s="121"/>
      <c r="C330" s="113">
        <v>34135</v>
      </c>
      <c r="D330" s="110" t="s">
        <v>45</v>
      </c>
      <c r="E330" s="115"/>
      <c r="F330" s="125">
        <f>VLOOKUP($C330,'ASDR FY1'!$A:$X,F$15,FALSE)*100</f>
        <v>4.3999999999999995</v>
      </c>
      <c r="G330" s="112"/>
      <c r="H330" s="7">
        <f>VLOOKUP($C330,'ASDR FY1'!$A:$X,H$15,FALSE)/1000</f>
        <v>793.11426000000006</v>
      </c>
      <c r="I330" s="8"/>
      <c r="J330" s="7">
        <f>VLOOKUP($C330,'ASDR FY1'!$A:$X,J$15,FALSE)/1000</f>
        <v>0</v>
      </c>
      <c r="K330" s="9"/>
      <c r="L330" s="7">
        <f>VLOOKUP($C330,'ASDR FY1'!$A:$X,L$15,FALSE)/1000</f>
        <v>0</v>
      </c>
      <c r="M330" s="9"/>
      <c r="N330" s="7">
        <f>VLOOKUP($C330,'ASDR FY1'!$A:$X,N$14,FALSE)/1000+VLOOKUP($C330,'ASDR FY1'!$A:$X,N$15,FALSE)/1000</f>
        <v>0</v>
      </c>
      <c r="O330" s="8"/>
      <c r="P330" s="7">
        <f>SUM(H330,J330,L330,N330)</f>
        <v>793.11426000000006</v>
      </c>
      <c r="Q330" s="9"/>
      <c r="R330" s="7">
        <f>VLOOKUP($C330,'ASDR FY1'!$A:$X,R$15,FALSE)/1000</f>
        <v>793.11426000000006</v>
      </c>
    </row>
    <row r="331" spans="1:18" x14ac:dyDescent="0.25">
      <c r="A331" s="115">
        <f t="shared" si="5"/>
        <v>28</v>
      </c>
      <c r="B331" s="121"/>
      <c r="C331" s="113">
        <v>34235</v>
      </c>
      <c r="D331" s="110" t="s">
        <v>81</v>
      </c>
      <c r="E331" s="115"/>
      <c r="F331" s="125">
        <f>VLOOKUP($C331,'ASDR FY1'!$A:$X,F$15,FALSE)*100</f>
        <v>3.3000000000000003</v>
      </c>
      <c r="G331" s="112"/>
      <c r="H331" s="7">
        <f>VLOOKUP($C331,'ASDR FY1'!$A:$X,H$15,FALSE)/1000</f>
        <v>2046.08466</v>
      </c>
      <c r="I331" s="8"/>
      <c r="J331" s="7">
        <f>VLOOKUP($C331,'ASDR FY1'!$A:$X,J$15,FALSE)/1000</f>
        <v>223.21379000000002</v>
      </c>
      <c r="K331" s="9"/>
      <c r="L331" s="7">
        <f>VLOOKUP($C331,'ASDR FY1'!$A:$X,L$15,FALSE)/1000</f>
        <v>-44.642749999999999</v>
      </c>
      <c r="M331" s="9"/>
      <c r="N331" s="7">
        <f>VLOOKUP($C331,'ASDR FY1'!$A:$X,N$14,FALSE)/1000+VLOOKUP($C331,'ASDR FY1'!$A:$X,N$15,FALSE)/1000</f>
        <v>0</v>
      </c>
      <c r="O331" s="8"/>
      <c r="P331" s="7">
        <f>SUM(H331,J331,L331,N331)</f>
        <v>2224.6557000000003</v>
      </c>
      <c r="Q331" s="9"/>
      <c r="R331" s="7">
        <f>VLOOKUP($C331,'ASDR FY1'!$A:$X,R$15,FALSE)/1000</f>
        <v>2205.9144300000003</v>
      </c>
    </row>
    <row r="332" spans="1:18" x14ac:dyDescent="0.25">
      <c r="A332" s="115">
        <f t="shared" si="5"/>
        <v>29</v>
      </c>
      <c r="B332" s="121"/>
      <c r="C332" s="113">
        <v>34335</v>
      </c>
      <c r="D332" s="110" t="s">
        <v>82</v>
      </c>
      <c r="E332" s="115"/>
      <c r="F332" s="125">
        <f>VLOOKUP($C332,'ASDR FY1'!$A:$X,F$15,FALSE)*100</f>
        <v>3.4000000000000004</v>
      </c>
      <c r="G332" s="112"/>
      <c r="H332" s="7">
        <f>VLOOKUP($C332,'ASDR FY1'!$A:$X,H$15,FALSE)/1000</f>
        <v>18623.181410000001</v>
      </c>
      <c r="I332" s="8"/>
      <c r="J332" s="7">
        <f>VLOOKUP($C332,'ASDR FY1'!$A:$X,J$15,FALSE)/1000</f>
        <v>223.21379000000002</v>
      </c>
      <c r="K332" s="9"/>
      <c r="L332" s="7">
        <f>VLOOKUP($C332,'ASDR FY1'!$A:$X,L$15,FALSE)/1000</f>
        <v>-44.642749999999999</v>
      </c>
      <c r="M332" s="9"/>
      <c r="N332" s="7">
        <f>VLOOKUP($C332,'ASDR FY1'!$A:$X,N$14,FALSE)/1000+VLOOKUP($C332,'ASDR FY1'!$A:$X,N$15,FALSE)/1000</f>
        <v>0</v>
      </c>
      <c r="O332" s="8"/>
      <c r="P332" s="7">
        <f>SUM(H332,J332,L332,N332)</f>
        <v>18801.752450000004</v>
      </c>
      <c r="Q332" s="9"/>
      <c r="R332" s="7">
        <f>VLOOKUP($C332,'ASDR FY1'!$A:$X,R$15,FALSE)/1000</f>
        <v>18783.011180000001</v>
      </c>
    </row>
    <row r="333" spans="1:18" x14ac:dyDescent="0.25">
      <c r="A333" s="115">
        <f t="shared" si="5"/>
        <v>30</v>
      </c>
      <c r="B333" s="121"/>
      <c r="C333" s="113">
        <v>34535</v>
      </c>
      <c r="D333" s="110" t="s">
        <v>48</v>
      </c>
      <c r="E333" s="115"/>
      <c r="F333" s="125">
        <f>VLOOKUP($C333,'ASDR FY1'!$A:$X,F$15,FALSE)*100</f>
        <v>2.7</v>
      </c>
      <c r="G333" s="112"/>
      <c r="H333" s="7">
        <f>VLOOKUP($C333,'ASDR FY1'!$A:$X,H$15,FALSE)/1000</f>
        <v>10408.627609999998</v>
      </c>
      <c r="I333" s="8"/>
      <c r="J333" s="7">
        <f>VLOOKUP($C333,'ASDR FY1'!$A:$X,J$15,FALSE)/1000</f>
        <v>0</v>
      </c>
      <c r="K333" s="9"/>
      <c r="L333" s="7">
        <f>VLOOKUP($C333,'ASDR FY1'!$A:$X,L$15,FALSE)/1000</f>
        <v>0</v>
      </c>
      <c r="M333" s="9"/>
      <c r="N333" s="7">
        <f>VLOOKUP($C333,'ASDR FY1'!$A:$X,N$14,FALSE)/1000+VLOOKUP($C333,'ASDR FY1'!$A:$X,N$15,FALSE)/1000</f>
        <v>0</v>
      </c>
      <c r="O333" s="8"/>
      <c r="P333" s="7">
        <f>SUM(H333,J333,L333,N333)</f>
        <v>10408.627609999998</v>
      </c>
      <c r="Q333" s="9"/>
      <c r="R333" s="7">
        <f>VLOOKUP($C333,'ASDR FY1'!$A:$X,R$15,FALSE)/1000</f>
        <v>10408.62761</v>
      </c>
    </row>
    <row r="334" spans="1:18" x14ac:dyDescent="0.25">
      <c r="A334" s="115">
        <f t="shared" si="5"/>
        <v>31</v>
      </c>
      <c r="B334" s="121"/>
      <c r="C334" s="113">
        <v>34635</v>
      </c>
      <c r="D334" s="110" t="s">
        <v>49</v>
      </c>
      <c r="F334" s="125">
        <f>VLOOKUP($C334,'ASDR FY1'!$A:$X,F$15,FALSE)*100</f>
        <v>3.9</v>
      </c>
      <c r="G334" s="112"/>
      <c r="H334" s="7">
        <f>VLOOKUP($C334,'ASDR FY1'!$A:$X,H$15,FALSE)/1000</f>
        <v>0</v>
      </c>
      <c r="I334" s="8"/>
      <c r="J334" s="7">
        <f>VLOOKUP($C334,'ASDR FY1'!$A:$X,J$15,FALSE)/1000</f>
        <v>0</v>
      </c>
      <c r="K334" s="9"/>
      <c r="L334" s="7">
        <f>VLOOKUP($C334,'ASDR FY1'!$A:$X,L$15,FALSE)/1000</f>
        <v>0</v>
      </c>
      <c r="M334" s="9"/>
      <c r="N334" s="7">
        <f>VLOOKUP($C334,'ASDR FY1'!$A:$X,N$14,FALSE)/1000+VLOOKUP($C334,'ASDR FY1'!$A:$X,N$15,FALSE)/1000</f>
        <v>0</v>
      </c>
      <c r="O334" s="8"/>
      <c r="P334" s="7">
        <f>SUM(H334,J334,L334,N334)</f>
        <v>0</v>
      </c>
      <c r="Q334" s="9"/>
      <c r="R334" s="7">
        <f>VLOOKUP($C334,'ASDR FY1'!$A:$X,R$15,FALSE)/1000</f>
        <v>0</v>
      </c>
    </row>
    <row r="335" spans="1:18" x14ac:dyDescent="0.25">
      <c r="A335" s="115">
        <f t="shared" si="5"/>
        <v>32</v>
      </c>
      <c r="B335" s="121"/>
      <c r="C335" s="115"/>
      <c r="D335" s="136" t="s">
        <v>120</v>
      </c>
      <c r="E335" s="115"/>
      <c r="F335" s="125"/>
      <c r="H335" s="11">
        <f>SUM(H330:H334)</f>
        <v>31871.007939999996</v>
      </c>
      <c r="I335" s="14"/>
      <c r="J335" s="11">
        <f>SUM(J330:J334)</f>
        <v>446.42758000000003</v>
      </c>
      <c r="K335" s="14"/>
      <c r="L335" s="11">
        <f>SUM(L330:L334)</f>
        <v>-89.285499999999999</v>
      </c>
      <c r="M335" s="14"/>
      <c r="N335" s="11">
        <f>SUM(N330:N334)</f>
        <v>0</v>
      </c>
      <c r="O335" s="14"/>
      <c r="P335" s="11">
        <f>SUM(P330:P334)</f>
        <v>32228.150020000001</v>
      </c>
      <c r="Q335" s="14"/>
      <c r="R335" s="11">
        <f>SUM(R330:R334)</f>
        <v>32190.66748</v>
      </c>
    </row>
    <row r="336" spans="1:18" x14ac:dyDescent="0.25">
      <c r="A336" s="115">
        <f t="shared" si="5"/>
        <v>33</v>
      </c>
      <c r="B336" s="121"/>
      <c r="F336" s="126"/>
      <c r="O336" s="112"/>
    </row>
    <row r="337" spans="1:18" x14ac:dyDescent="0.25">
      <c r="A337" s="115">
        <f t="shared" si="5"/>
        <v>34</v>
      </c>
      <c r="B337" s="121"/>
      <c r="C337" s="115"/>
      <c r="D337" s="136" t="s">
        <v>121</v>
      </c>
      <c r="F337" s="126"/>
      <c r="I337" s="14"/>
      <c r="K337" s="14"/>
      <c r="M337" s="14"/>
      <c r="O337" s="14"/>
      <c r="Q337" s="14"/>
    </row>
    <row r="338" spans="1:18" x14ac:dyDescent="0.25">
      <c r="A338" s="115">
        <f t="shared" si="5"/>
        <v>35</v>
      </c>
      <c r="B338" s="121"/>
      <c r="C338" s="113">
        <v>34136</v>
      </c>
      <c r="D338" s="110" t="s">
        <v>45</v>
      </c>
      <c r="F338" s="125">
        <f>VLOOKUP($C338,'ASDR FY1'!$A:$X,F$15,FALSE)*100</f>
        <v>3.1</v>
      </c>
      <c r="G338" s="112"/>
      <c r="H338" s="7">
        <f>VLOOKUP($C338,'ASDR FY1'!$A:$X,H$15,FALSE)/1000</f>
        <v>2656.2315400000002</v>
      </c>
      <c r="I338" s="8"/>
      <c r="J338" s="7">
        <f>VLOOKUP($C338,'ASDR FY1'!$A:$X,J$15,FALSE)/1000</f>
        <v>0</v>
      </c>
      <c r="K338" s="9"/>
      <c r="L338" s="7">
        <f>VLOOKUP($C338,'ASDR FY1'!$A:$X,L$15,FALSE)/1000</f>
        <v>0</v>
      </c>
      <c r="M338" s="9"/>
      <c r="N338" s="7">
        <f>VLOOKUP($C338,'ASDR FY1'!$A:$X,N$14,FALSE)/1000+VLOOKUP($C338,'ASDR FY1'!$A:$X,N$15,FALSE)/1000</f>
        <v>0</v>
      </c>
      <c r="O338" s="8"/>
      <c r="P338" s="7">
        <f>SUM(H338,J338,L338,N338)</f>
        <v>2656.2315400000002</v>
      </c>
      <c r="Q338" s="9"/>
      <c r="R338" s="7">
        <f>VLOOKUP($C338,'ASDR FY1'!$A:$X,R$15,FALSE)/1000</f>
        <v>2656.2315400000002</v>
      </c>
    </row>
    <row r="339" spans="1:18" x14ac:dyDescent="0.25">
      <c r="A339" s="115">
        <f t="shared" si="5"/>
        <v>36</v>
      </c>
      <c r="B339" s="121"/>
      <c r="C339" s="113">
        <v>34236</v>
      </c>
      <c r="D339" s="110" t="s">
        <v>81</v>
      </c>
      <c r="F339" s="125">
        <f>VLOOKUP($C339,'ASDR FY1'!$A:$X,F$15,FALSE)*100</f>
        <v>3.6999999999999997</v>
      </c>
      <c r="G339" s="112"/>
      <c r="H339" s="7">
        <f>VLOOKUP($C339,'ASDR FY1'!$A:$X,H$15,FALSE)/1000</f>
        <v>1537.2790600000001</v>
      </c>
      <c r="I339" s="8"/>
      <c r="J339" s="7">
        <f>VLOOKUP($C339,'ASDR FY1'!$A:$X,J$15,FALSE)/1000</f>
        <v>32.014890000000001</v>
      </c>
      <c r="K339" s="9"/>
      <c r="L339" s="7">
        <f>VLOOKUP($C339,'ASDR FY1'!$A:$X,L$15,FALSE)/1000</f>
        <v>-6.4029799999999994</v>
      </c>
      <c r="M339" s="9"/>
      <c r="N339" s="7">
        <f>VLOOKUP($C339,'ASDR FY1'!$A:$X,N$14,FALSE)/1000+VLOOKUP($C339,'ASDR FY1'!$A:$X,N$15,FALSE)/1000</f>
        <v>0</v>
      </c>
      <c r="O339" s="8"/>
      <c r="P339" s="7">
        <f>SUM(H339,J339,L339,N339)</f>
        <v>1562.8909699999999</v>
      </c>
      <c r="Q339" s="9"/>
      <c r="R339" s="7">
        <f>VLOOKUP($C339,'ASDR FY1'!$A:$X,R$15,FALSE)/1000</f>
        <v>1556.98053</v>
      </c>
    </row>
    <row r="340" spans="1:18" x14ac:dyDescent="0.25">
      <c r="A340" s="115">
        <f t="shared" si="5"/>
        <v>37</v>
      </c>
      <c r="B340" s="121"/>
      <c r="C340" s="113">
        <v>34336</v>
      </c>
      <c r="D340" s="110" t="s">
        <v>82</v>
      </c>
      <c r="F340" s="125">
        <f>VLOOKUP($C340,'ASDR FY1'!$A:$X,F$15,FALSE)*100</f>
        <v>2.7</v>
      </c>
      <c r="G340" s="112"/>
      <c r="H340" s="7">
        <f>VLOOKUP($C340,'ASDR FY1'!$A:$X,H$15,FALSE)/1000</f>
        <v>17516.480329999999</v>
      </c>
      <c r="I340" s="8"/>
      <c r="J340" s="7">
        <f>VLOOKUP($C340,'ASDR FY1'!$A:$X,J$15,FALSE)/1000</f>
        <v>32.014890000000001</v>
      </c>
      <c r="K340" s="9"/>
      <c r="L340" s="7">
        <f>VLOOKUP($C340,'ASDR FY1'!$A:$X,L$15,FALSE)/1000</f>
        <v>-6.4029799999999994</v>
      </c>
      <c r="M340" s="9"/>
      <c r="N340" s="7">
        <f>VLOOKUP($C340,'ASDR FY1'!$A:$X,N$14,FALSE)/1000+VLOOKUP($C340,'ASDR FY1'!$A:$X,N$15,FALSE)/1000</f>
        <v>0</v>
      </c>
      <c r="O340" s="8"/>
      <c r="P340" s="7">
        <f>SUM(H340,J340,L340,N340)</f>
        <v>17542.092239999998</v>
      </c>
      <c r="Q340" s="9"/>
      <c r="R340" s="7">
        <f>VLOOKUP($C340,'ASDR FY1'!$A:$X,R$15,FALSE)/1000</f>
        <v>17536.181800000002</v>
      </c>
    </row>
    <row r="341" spans="1:18" x14ac:dyDescent="0.25">
      <c r="A341" s="115">
        <f t="shared" si="5"/>
        <v>38</v>
      </c>
      <c r="B341" s="121"/>
      <c r="C341" s="113">
        <v>34536</v>
      </c>
      <c r="D341" s="110" t="s">
        <v>48</v>
      </c>
      <c r="F341" s="125">
        <f>VLOOKUP($C341,'ASDR FY1'!$A:$X,F$15,FALSE)*100</f>
        <v>2.8000000000000003</v>
      </c>
      <c r="G341" s="112"/>
      <c r="H341" s="7">
        <f>VLOOKUP($C341,'ASDR FY1'!$A:$X,H$15,FALSE)/1000</f>
        <v>14353.367069999998</v>
      </c>
      <c r="I341" s="8"/>
      <c r="J341" s="7">
        <f>VLOOKUP($C341,'ASDR FY1'!$A:$X,J$15,FALSE)/1000</f>
        <v>0</v>
      </c>
      <c r="K341" s="9"/>
      <c r="L341" s="7">
        <f>VLOOKUP($C341,'ASDR FY1'!$A:$X,L$15,FALSE)/1000</f>
        <v>0</v>
      </c>
      <c r="M341" s="9"/>
      <c r="N341" s="7">
        <f>VLOOKUP($C341,'ASDR FY1'!$A:$X,N$14,FALSE)/1000+VLOOKUP($C341,'ASDR FY1'!$A:$X,N$15,FALSE)/1000</f>
        <v>0</v>
      </c>
      <c r="O341" s="8"/>
      <c r="P341" s="7">
        <f>SUM(H341,J341,L341,N341)</f>
        <v>14353.367069999998</v>
      </c>
      <c r="Q341" s="9"/>
      <c r="R341" s="7">
        <f>VLOOKUP($C341,'ASDR FY1'!$A:$X,R$15,FALSE)/1000</f>
        <v>14353.36707</v>
      </c>
    </row>
    <row r="342" spans="1:18" x14ac:dyDescent="0.25">
      <c r="A342" s="115">
        <f t="shared" si="5"/>
        <v>39</v>
      </c>
      <c r="B342" s="121"/>
      <c r="C342" s="113">
        <v>34636</v>
      </c>
      <c r="D342" s="110" t="s">
        <v>49</v>
      </c>
      <c r="F342" s="125">
        <f>VLOOKUP($C342,'ASDR FY1'!$A:$X,F$15,FALSE)*100</f>
        <v>2.1999999999999997</v>
      </c>
      <c r="G342" s="112"/>
      <c r="H342" s="7">
        <f>VLOOKUP($C342,'ASDR FY1'!$A:$X,H$15,FALSE)/1000</f>
        <v>11.73648</v>
      </c>
      <c r="I342" s="8"/>
      <c r="J342" s="7">
        <f>VLOOKUP($C342,'ASDR FY1'!$A:$X,J$15,FALSE)/1000</f>
        <v>0</v>
      </c>
      <c r="K342" s="9"/>
      <c r="L342" s="7">
        <f>VLOOKUP($C342,'ASDR FY1'!$A:$X,L$15,FALSE)/1000</f>
        <v>0</v>
      </c>
      <c r="M342" s="9"/>
      <c r="N342" s="7">
        <f>VLOOKUP($C342,'ASDR FY1'!$A:$X,N$14,FALSE)/1000+VLOOKUP($C342,'ASDR FY1'!$A:$X,N$15,FALSE)/1000</f>
        <v>0</v>
      </c>
      <c r="O342" s="8"/>
      <c r="P342" s="7">
        <f>SUM(H342,J342,L342,N342)</f>
        <v>11.73648</v>
      </c>
      <c r="Q342" s="9"/>
      <c r="R342" s="7">
        <f>VLOOKUP($C342,'ASDR FY1'!$A:$X,R$15,FALSE)/1000</f>
        <v>11.73648</v>
      </c>
    </row>
    <row r="343" spans="1:18" x14ac:dyDescent="0.25">
      <c r="A343" s="115">
        <f t="shared" si="5"/>
        <v>40</v>
      </c>
      <c r="B343" s="121"/>
      <c r="C343" s="115"/>
      <c r="D343" s="136" t="s">
        <v>122</v>
      </c>
      <c r="F343" s="125"/>
      <c r="H343" s="11">
        <f>SUM(H338:H342)</f>
        <v>36075.09448</v>
      </c>
      <c r="I343" s="14"/>
      <c r="J343" s="11">
        <f>SUM(J338:J342)</f>
        <v>64.029780000000002</v>
      </c>
      <c r="K343" s="14"/>
      <c r="L343" s="11">
        <f>SUM(L338:L342)</f>
        <v>-12.805959999999999</v>
      </c>
      <c r="M343" s="14"/>
      <c r="N343" s="11">
        <f>SUM(N338:N342)</f>
        <v>0</v>
      </c>
      <c r="O343" s="14"/>
      <c r="P343" s="11">
        <f>SUM(P338:P342)</f>
        <v>36126.318299999999</v>
      </c>
      <c r="Q343" s="14"/>
      <c r="R343" s="11">
        <f>SUM(R338:R342)</f>
        <v>36114.497420000007</v>
      </c>
    </row>
    <row r="344" spans="1:18" x14ac:dyDescent="0.25">
      <c r="A344" s="115">
        <f t="shared" si="5"/>
        <v>41</v>
      </c>
      <c r="B344" s="121"/>
      <c r="F344" s="126"/>
      <c r="H344" s="145"/>
      <c r="O344" s="112"/>
    </row>
    <row r="345" spans="1:18" x14ac:dyDescent="0.25">
      <c r="A345" s="115">
        <f t="shared" si="5"/>
        <v>42</v>
      </c>
      <c r="B345" s="121"/>
      <c r="C345" s="113">
        <v>34637</v>
      </c>
      <c r="D345" s="136" t="s">
        <v>123</v>
      </c>
      <c r="F345" s="125">
        <f>VLOOKUP($C345,'ASDR FY1'!$A:$X,F$15,FALSE)*100</f>
        <v>14.299999999999999</v>
      </c>
      <c r="G345" s="112"/>
      <c r="H345" s="7">
        <f>VLOOKUP($C345,'ASDR FY1'!$A:$X,H$15,FALSE)/1000</f>
        <v>284.40003999999993</v>
      </c>
      <c r="I345" s="8"/>
      <c r="J345" s="7">
        <f>VLOOKUP($C345,'ASDR FY1'!$A:$X,J$15,FALSE)/1000</f>
        <v>0</v>
      </c>
      <c r="K345" s="9"/>
      <c r="L345" s="7">
        <f>VLOOKUP($C345,'ASDR FY1'!$A:$X,L$15,FALSE)/1000</f>
        <v>-16.073840000000001</v>
      </c>
      <c r="M345" s="9"/>
      <c r="N345" s="7">
        <f>VLOOKUP($C345,'ASDR FY1'!$A:$X,N$14,FALSE)/1000+VLOOKUP($C345,'ASDR FY1'!$A:$X,N$15,FALSE)/1000</f>
        <v>0</v>
      </c>
      <c r="O345" s="8"/>
      <c r="P345" s="7">
        <f>SUM(H345,J345,L345,N345)</f>
        <v>268.32619999999991</v>
      </c>
      <c r="Q345" s="9"/>
      <c r="R345" s="7">
        <f>VLOOKUP($C345,'ASDR FY1'!$A:$X,R$15,FALSE)/1000</f>
        <v>278.21778999999998</v>
      </c>
    </row>
    <row r="346" spans="1:18" ht="13.8" thickBot="1" x14ac:dyDescent="0.3">
      <c r="A346" s="115">
        <f t="shared" si="5"/>
        <v>43</v>
      </c>
      <c r="B346" s="121"/>
      <c r="D346" s="110" t="s">
        <v>124</v>
      </c>
      <c r="F346" s="130"/>
      <c r="H346" s="61">
        <f>SUM(H277,H285,H311,H319,H327,H335,H343,H345)</f>
        <v>1202568.2463299998</v>
      </c>
      <c r="I346" s="14"/>
      <c r="J346" s="61">
        <f>SUM(J277,J285,J311,J319,J327,J335,J343,J345)</f>
        <v>165846.62613999998</v>
      </c>
      <c r="K346" s="14"/>
      <c r="L346" s="61">
        <f>SUM(L277,L285,L311,L319,L327,L335,L343,L345)</f>
        <v>-33185.399209999989</v>
      </c>
      <c r="M346" s="14"/>
      <c r="N346" s="61">
        <f>SUM(N277,N285,N311,N319,N327,N335,N343,N345)</f>
        <v>0</v>
      </c>
      <c r="O346" s="14"/>
      <c r="P346" s="61">
        <f>SUM(P277,P285,P311,P319,P327,P335,P343,P345)</f>
        <v>1335229.4732600001</v>
      </c>
      <c r="Q346" s="14"/>
      <c r="R346" s="61">
        <f>SUM(R277,R285,R311,R319,R327,R335,R343,R345)</f>
        <v>1285000.9115299999</v>
      </c>
    </row>
    <row r="347" spans="1:18" ht="14.4" thickTop="1" thickBot="1" x14ac:dyDescent="0.3">
      <c r="A347" s="116">
        <f t="shared" si="5"/>
        <v>44</v>
      </c>
      <c r="B347" s="19" t="s">
        <v>59</v>
      </c>
      <c r="C347" s="109"/>
      <c r="D347" s="109"/>
      <c r="E347" s="109"/>
      <c r="F347" s="109"/>
      <c r="G347" s="109"/>
      <c r="H347" s="109"/>
      <c r="I347" s="109"/>
      <c r="J347" s="109"/>
      <c r="K347" s="109"/>
      <c r="L347" s="109"/>
      <c r="M347" s="109"/>
      <c r="N347" s="109"/>
      <c r="O347" s="131"/>
      <c r="P347" s="109"/>
      <c r="Q347" s="109"/>
      <c r="R347" s="109"/>
    </row>
    <row r="348" spans="1:18" x14ac:dyDescent="0.25">
      <c r="A348" s="110" t="str">
        <f>$A$58</f>
        <v>Supporting Schedules:  B-08, B-11</v>
      </c>
      <c r="O348" s="112"/>
      <c r="P348" s="110" t="str">
        <f>$P$58</f>
        <v>Recap Schedules:  B-03, B-06</v>
      </c>
    </row>
    <row r="349" spans="1:18" ht="13.8" thickBot="1" x14ac:dyDescent="0.3">
      <c r="A349" s="109" t="str">
        <f>$A$1</f>
        <v>SCHEDULE B-07</v>
      </c>
      <c r="B349" s="109"/>
      <c r="C349" s="109"/>
      <c r="D349" s="109"/>
      <c r="E349" s="109"/>
      <c r="F349" s="109"/>
      <c r="G349" s="109" t="str">
        <f>$G$1</f>
        <v>PLANT BALANCES BY ACCOUNT AND SUB-ACCOUNT</v>
      </c>
      <c r="H349" s="109"/>
      <c r="I349" s="109"/>
      <c r="J349" s="109"/>
      <c r="K349" s="109"/>
      <c r="L349" s="109"/>
      <c r="M349" s="109"/>
      <c r="N349" s="109"/>
      <c r="O349" s="131"/>
      <c r="P349" s="109"/>
      <c r="Q349" s="109"/>
      <c r="R349" s="109" t="str">
        <f>"Page 17 of " &amp; $P$1</f>
        <v>Page 17 of 30</v>
      </c>
    </row>
    <row r="350" spans="1:18" x14ac:dyDescent="0.25">
      <c r="A350" s="110" t="str">
        <f>$A$2</f>
        <v>FLORIDA PUBLIC SERVICE COMMISSION</v>
      </c>
      <c r="B350" s="132"/>
      <c r="E350" s="112" t="str">
        <f>$E$2</f>
        <v xml:space="preserve">                  EXPLANATION:</v>
      </c>
      <c r="F350" s="110" t="str">
        <f>IF($F$2="","",$F$2)</f>
        <v>Provide the depreciation rate and plant balances for each account or sub-account to which</v>
      </c>
      <c r="J350" s="133"/>
      <c r="K350" s="133"/>
      <c r="M350" s="133"/>
      <c r="N350" s="133"/>
      <c r="O350" s="134"/>
      <c r="P350" s="110" t="str">
        <f>$P$2</f>
        <v>Type of data shown:</v>
      </c>
      <c r="R350" s="111"/>
    </row>
    <row r="351" spans="1:18" x14ac:dyDescent="0.25">
      <c r="B351" s="132"/>
      <c r="F351" s="110" t="str">
        <f>IF($F$3="","",$F$3)</f>
        <v>a separate depreciation rate is prescribed. (Include Amortization/Recovery schedule amounts).</v>
      </c>
      <c r="J351" s="112"/>
      <c r="K351" s="111"/>
      <c r="N351" s="112"/>
      <c r="O351" s="112" t="str">
        <f>IF($O$3=0,"",$O$3)</f>
        <v/>
      </c>
      <c r="P351" s="111" t="str">
        <f>$P$3</f>
        <v>Projected Test Year Ended 12/31/2025</v>
      </c>
      <c r="R351" s="112"/>
    </row>
    <row r="352" spans="1:18" x14ac:dyDescent="0.25">
      <c r="A352" s="110" t="str">
        <f>$A$4</f>
        <v>COMPANY: TAMPA ELECTRIC COMPANY</v>
      </c>
      <c r="B352" s="132"/>
      <c r="F352" s="110" t="str">
        <f>IF(+$F$4="","",$F$4)</f>
        <v/>
      </c>
      <c r="J352" s="112"/>
      <c r="K352" s="111"/>
      <c r="L352" s="112"/>
      <c r="O352" s="112" t="str">
        <f>IF($O$4=0,"",$O$4)</f>
        <v>XX</v>
      </c>
      <c r="P352" s="111" t="str">
        <f>$P$4</f>
        <v>Projected Prior Year Ended 12/31/2024</v>
      </c>
      <c r="R352" s="112"/>
    </row>
    <row r="353" spans="1:18" x14ac:dyDescent="0.25">
      <c r="B353" s="132"/>
      <c r="F353" s="110" t="str">
        <f>IF(+$F$5="","",$F$5)</f>
        <v/>
      </c>
      <c r="J353" s="112"/>
      <c r="K353" s="111"/>
      <c r="L353" s="112"/>
      <c r="O353" s="112" t="str">
        <f>IF($O$5=0,"",$O$5)</f>
        <v/>
      </c>
      <c r="P353" s="111" t="str">
        <f>$P$5</f>
        <v>Historical Prior Year Ended 12/31/2023</v>
      </c>
      <c r="R353" s="112"/>
    </row>
    <row r="354" spans="1:18" x14ac:dyDescent="0.25">
      <c r="J354" s="112"/>
      <c r="K354" s="111"/>
      <c r="L354" s="112"/>
      <c r="O354" s="112"/>
      <c r="P354" s="160" t="s">
        <v>573</v>
      </c>
      <c r="R354" s="112"/>
    </row>
    <row r="355" spans="1:18" x14ac:dyDescent="0.25">
      <c r="J355" s="112"/>
      <c r="K355" s="111"/>
      <c r="L355" s="112"/>
      <c r="O355" s="112"/>
      <c r="P355" s="160" t="s">
        <v>574</v>
      </c>
      <c r="R355" s="112"/>
    </row>
    <row r="356" spans="1:18" ht="13.8" thickBot="1" x14ac:dyDescent="0.3">
      <c r="A356" s="157" t="s">
        <v>572</v>
      </c>
      <c r="B356" s="109"/>
      <c r="C356" s="109"/>
      <c r="D356" s="109"/>
      <c r="E356" s="109"/>
      <c r="F356" s="109"/>
      <c r="G356" s="109"/>
      <c r="H356" s="116" t="s">
        <v>12</v>
      </c>
      <c r="I356" s="109"/>
      <c r="J356" s="109"/>
      <c r="K356" s="109"/>
      <c r="L356" s="109"/>
      <c r="M356" s="109"/>
      <c r="N356" s="109"/>
      <c r="O356" s="131"/>
      <c r="P356" s="161" t="s">
        <v>575</v>
      </c>
      <c r="Q356" s="109"/>
      <c r="R356" s="109"/>
    </row>
    <row r="357" spans="1:18" x14ac:dyDescent="0.25">
      <c r="C357" s="113"/>
      <c r="D357" s="113"/>
      <c r="E357" s="113"/>
      <c r="F357" s="113"/>
      <c r="G357" s="113"/>
      <c r="H357" s="113"/>
      <c r="I357" s="113"/>
      <c r="J357" s="113"/>
      <c r="K357" s="113"/>
      <c r="L357" s="113"/>
      <c r="M357" s="113"/>
      <c r="N357" s="113"/>
      <c r="O357" s="114"/>
      <c r="P357" s="113"/>
      <c r="Q357" s="113"/>
      <c r="R357" s="113"/>
    </row>
    <row r="358" spans="1:18" x14ac:dyDescent="0.25">
      <c r="C358" s="113" t="s">
        <v>13</v>
      </c>
      <c r="D358" s="113" t="s">
        <v>14</v>
      </c>
      <c r="E358" s="113"/>
      <c r="F358" s="113" t="s">
        <v>15</v>
      </c>
      <c r="G358" s="113"/>
      <c r="H358" s="113" t="s">
        <v>16</v>
      </c>
      <c r="I358" s="113"/>
      <c r="J358" s="115" t="s">
        <v>17</v>
      </c>
      <c r="K358" s="115"/>
      <c r="L358" s="113" t="s">
        <v>18</v>
      </c>
      <c r="M358" s="113"/>
      <c r="N358" s="113" t="s">
        <v>19</v>
      </c>
      <c r="O358" s="114"/>
      <c r="P358" s="113" t="s">
        <v>20</v>
      </c>
      <c r="Q358" s="113"/>
      <c r="R358" s="113" t="s">
        <v>21</v>
      </c>
    </row>
    <row r="359" spans="1:18" x14ac:dyDescent="0.25">
      <c r="C359" s="115" t="s">
        <v>22</v>
      </c>
      <c r="D359" s="115" t="s">
        <v>22</v>
      </c>
      <c r="F359" s="115" t="s">
        <v>23</v>
      </c>
      <c r="G359" s="115"/>
      <c r="H359" s="113" t="s">
        <v>24</v>
      </c>
      <c r="I359" s="115"/>
      <c r="J359" s="113" t="s">
        <v>25</v>
      </c>
      <c r="K359" s="115"/>
      <c r="L359" s="115" t="s">
        <v>25</v>
      </c>
      <c r="M359" s="115"/>
      <c r="O359" s="112"/>
      <c r="P359" s="115" t="s">
        <v>24</v>
      </c>
      <c r="R359" s="115"/>
    </row>
    <row r="360" spans="1:18" x14ac:dyDescent="0.25">
      <c r="A360" s="115" t="s">
        <v>26</v>
      </c>
      <c r="B360" s="115"/>
      <c r="C360" s="115" t="s">
        <v>27</v>
      </c>
      <c r="D360" s="115" t="s">
        <v>27</v>
      </c>
      <c r="E360" s="113"/>
      <c r="F360" s="115" t="s">
        <v>28</v>
      </c>
      <c r="G360" s="115"/>
      <c r="H360" s="115" t="s">
        <v>29</v>
      </c>
      <c r="I360" s="115"/>
      <c r="J360" s="115" t="s">
        <v>24</v>
      </c>
      <c r="K360" s="113"/>
      <c r="L360" s="115" t="s">
        <v>24</v>
      </c>
      <c r="M360" s="111"/>
      <c r="N360" s="115" t="s">
        <v>30</v>
      </c>
      <c r="O360" s="114"/>
      <c r="P360" s="113" t="s">
        <v>29</v>
      </c>
      <c r="Q360" s="113"/>
      <c r="R360" s="115" t="s">
        <v>31</v>
      </c>
    </row>
    <row r="361" spans="1:18" ht="13.8" thickBot="1" x14ac:dyDescent="0.3">
      <c r="A361" s="116" t="s">
        <v>32</v>
      </c>
      <c r="B361" s="116"/>
      <c r="C361" s="116" t="s">
        <v>33</v>
      </c>
      <c r="D361" s="116" t="s">
        <v>34</v>
      </c>
      <c r="E361" s="116"/>
      <c r="F361" s="117" t="s">
        <v>35</v>
      </c>
      <c r="G361" s="117"/>
      <c r="H361" s="117" t="s">
        <v>36</v>
      </c>
      <c r="I361" s="118"/>
      <c r="J361" s="117" t="s">
        <v>37</v>
      </c>
      <c r="K361" s="118"/>
      <c r="L361" s="118" t="s">
        <v>38</v>
      </c>
      <c r="M361" s="119"/>
      <c r="N361" s="119" t="s">
        <v>39</v>
      </c>
      <c r="O361" s="120"/>
      <c r="P361" s="119" t="s">
        <v>40</v>
      </c>
      <c r="Q361" s="119"/>
      <c r="R361" s="119" t="s">
        <v>41</v>
      </c>
    </row>
    <row r="362" spans="1:18" x14ac:dyDescent="0.25">
      <c r="A362" s="115">
        <v>1</v>
      </c>
      <c r="B362" s="121"/>
      <c r="O362" s="112"/>
    </row>
    <row r="363" spans="1:18" x14ac:dyDescent="0.25">
      <c r="A363" s="115">
        <f>A362+1</f>
        <v>2</v>
      </c>
      <c r="B363" s="121"/>
      <c r="D363" s="110" t="s">
        <v>125</v>
      </c>
      <c r="I363" s="14"/>
      <c r="K363" s="14"/>
      <c r="M363" s="14"/>
      <c r="O363" s="14"/>
      <c r="Q363" s="14"/>
    </row>
    <row r="364" spans="1:18" x14ac:dyDescent="0.25">
      <c r="A364" s="115">
        <f t="shared" ref="A364:A405" si="6">A363+1</f>
        <v>3</v>
      </c>
      <c r="B364" s="121"/>
      <c r="C364" s="113">
        <v>34199</v>
      </c>
      <c r="D364" s="110" t="s">
        <v>45</v>
      </c>
      <c r="F364" s="125">
        <f>VLOOKUP($C364,'ASDR FY1'!$A:$X,F$15,FALSE)*100</f>
        <v>2.9000000000000004</v>
      </c>
      <c r="G364" s="112"/>
      <c r="H364" s="7">
        <f>VLOOKUP($C364,'ASDR FY1'!$A:$X,H$15,FALSE)/1000</f>
        <v>450039.90233000007</v>
      </c>
      <c r="I364" s="8"/>
      <c r="J364" s="7">
        <f>VLOOKUP($C364,'ASDR FY1'!$A:$X,J$15,FALSE)/1000</f>
        <v>20679.017749999999</v>
      </c>
      <c r="K364" s="9"/>
      <c r="L364" s="7">
        <f>VLOOKUP($C364,'ASDR FY1'!$A:$X,L$15,FALSE)/1000</f>
        <v>0</v>
      </c>
      <c r="M364" s="9"/>
      <c r="N364" s="7">
        <f>VLOOKUP($C364,'ASDR FY1'!$A:$X,N$14,FALSE)/1000+VLOOKUP($C364,'ASDR FY1'!$A:$X,N$15,FALSE)/1000</f>
        <v>0</v>
      </c>
      <c r="O364" s="8"/>
      <c r="P364" s="7">
        <f>SUM(H364,J364,L364,N364)</f>
        <v>470718.92008000007</v>
      </c>
      <c r="Q364" s="9"/>
      <c r="R364" s="7">
        <f>VLOOKUP($C364,'ASDR FY1'!$A:$X,R$15,FALSE)/1000</f>
        <v>455260.77506000001</v>
      </c>
    </row>
    <row r="365" spans="1:18" x14ac:dyDescent="0.25">
      <c r="A365" s="115">
        <f t="shared" si="6"/>
        <v>4</v>
      </c>
      <c r="B365" s="121"/>
      <c r="C365" s="115">
        <v>34399</v>
      </c>
      <c r="D365" s="110" t="s">
        <v>82</v>
      </c>
      <c r="F365" s="125">
        <f>VLOOKUP($C365,'ASDR FY1'!$A:$X,F$15,FALSE)*100</f>
        <v>2.9000000000000004</v>
      </c>
      <c r="G365" s="112"/>
      <c r="H365" s="7">
        <f>VLOOKUP($C365,'ASDR FY1'!$A:$X,H$15,FALSE)/1000</f>
        <v>802866.0832199998</v>
      </c>
      <c r="I365" s="8"/>
      <c r="J365" s="7">
        <f>VLOOKUP($C365,'ASDR FY1'!$A:$X,J$15,FALSE)/1000</f>
        <v>157930.06943</v>
      </c>
      <c r="K365" s="9"/>
      <c r="L365" s="7">
        <f>VLOOKUP($C365,'ASDR FY1'!$A:$X,L$15,FALSE)/1000</f>
        <v>0</v>
      </c>
      <c r="M365" s="9"/>
      <c r="N365" s="7">
        <f>VLOOKUP($C365,'ASDR FY1'!$A:$X,N$14,FALSE)/1000+VLOOKUP($C365,'ASDR FY1'!$A:$X,N$15,FALSE)/1000</f>
        <v>0</v>
      </c>
      <c r="O365" s="8"/>
      <c r="P365" s="7">
        <f>SUM(H365,J365,L365,N365)</f>
        <v>960796.15264999983</v>
      </c>
      <c r="Q365" s="9"/>
      <c r="R365" s="7">
        <f>VLOOKUP($C365,'ASDR FY1'!$A:$X,R$15,FALSE)/1000</f>
        <v>822987.48395999998</v>
      </c>
    </row>
    <row r="366" spans="1:18" x14ac:dyDescent="0.25">
      <c r="A366" s="115">
        <f t="shared" si="6"/>
        <v>5</v>
      </c>
      <c r="B366" s="121"/>
      <c r="C366" s="115">
        <v>34599</v>
      </c>
      <c r="D366" s="110" t="s">
        <v>48</v>
      </c>
      <c r="F366" s="125">
        <f>VLOOKUP($C366,'ASDR FY1'!$A:$X,F$15,FALSE)*100</f>
        <v>2.9000000000000004</v>
      </c>
      <c r="G366" s="112"/>
      <c r="H366" s="7">
        <f>VLOOKUP($C366,'ASDR FY1'!$A:$X,H$15,FALSE)/1000</f>
        <v>324613.47578000015</v>
      </c>
      <c r="I366" s="8"/>
      <c r="J366" s="7">
        <f>VLOOKUP($C366,'ASDR FY1'!$A:$X,J$15,FALSE)/1000</f>
        <v>0</v>
      </c>
      <c r="K366" s="9"/>
      <c r="L366" s="7">
        <f>VLOOKUP($C366,'ASDR FY1'!$A:$X,L$15,FALSE)/1000</f>
        <v>0</v>
      </c>
      <c r="M366" s="9"/>
      <c r="N366" s="7">
        <f>VLOOKUP($C366,'ASDR FY1'!$A:$X,N$14,FALSE)/1000+VLOOKUP($C366,'ASDR FY1'!$A:$X,N$15,FALSE)/1000</f>
        <v>0</v>
      </c>
      <c r="O366" s="8"/>
      <c r="P366" s="7">
        <f>SUM(H366,J366,L366,N366)</f>
        <v>324613.47578000015</v>
      </c>
      <c r="Q366" s="9"/>
      <c r="R366" s="7">
        <f>VLOOKUP($C366,'ASDR FY1'!$A:$X,R$15,FALSE)/1000</f>
        <v>324613.47577999998</v>
      </c>
    </row>
    <row r="367" spans="1:18" x14ac:dyDescent="0.25">
      <c r="A367" s="115">
        <f t="shared" si="6"/>
        <v>6</v>
      </c>
      <c r="B367" s="121"/>
      <c r="C367" s="113">
        <v>34899</v>
      </c>
      <c r="D367" s="110" t="s">
        <v>126</v>
      </c>
      <c r="F367" s="125">
        <f>VLOOKUP($C367,'ASDR FY1'!$A:$X,F$15,FALSE)*100</f>
        <v>10</v>
      </c>
      <c r="G367" s="112"/>
      <c r="H367" s="7">
        <f>VLOOKUP($C367,'ASDR FY1'!$A:$X,H$15,FALSE)/1000</f>
        <v>8946.3827099999999</v>
      </c>
      <c r="I367" s="8"/>
      <c r="J367" s="7">
        <f>VLOOKUP($C367,'ASDR FY1'!$A:$X,J$15,FALSE)/1000</f>
        <v>19063.454460000001</v>
      </c>
      <c r="K367" s="9"/>
      <c r="L367" s="7">
        <f>VLOOKUP($C367,'ASDR FY1'!$A:$X,L$15,FALSE)/1000</f>
        <v>0</v>
      </c>
      <c r="M367" s="9"/>
      <c r="N367" s="7">
        <f>VLOOKUP($C367,'ASDR FY1'!$A:$X,N$14,FALSE)/1000+VLOOKUP($C367,'ASDR FY1'!$A:$X,N$15,FALSE)/1000</f>
        <v>0</v>
      </c>
      <c r="O367" s="8"/>
      <c r="P367" s="7">
        <f>SUM(H367,J367,L367,N367)</f>
        <v>28009.837169999999</v>
      </c>
      <c r="Q367" s="9"/>
      <c r="R367" s="7">
        <f>VLOOKUP($C367,'ASDR FY1'!$A:$X,R$15,FALSE)/1000</f>
        <v>14658.305460000001</v>
      </c>
    </row>
    <row r="368" spans="1:18" ht="13.8" thickBot="1" x14ac:dyDescent="0.3">
      <c r="A368" s="115">
        <f t="shared" si="6"/>
        <v>7</v>
      </c>
      <c r="B368" s="121"/>
      <c r="C368" s="115"/>
      <c r="D368" s="110" t="s">
        <v>127</v>
      </c>
      <c r="F368" s="125"/>
      <c r="H368" s="62">
        <f>SUM(H364:H367)</f>
        <v>1586465.8440400001</v>
      </c>
      <c r="I368" s="7"/>
      <c r="J368" s="62">
        <f>SUM(J364:J367)</f>
        <v>197672.54164000001</v>
      </c>
      <c r="K368" s="12"/>
      <c r="L368" s="62">
        <f>SUM(L364:L367)</f>
        <v>0</v>
      </c>
      <c r="M368" s="12"/>
      <c r="N368" s="62">
        <f>SUM(N364:N367)</f>
        <v>0</v>
      </c>
      <c r="O368" s="12"/>
      <c r="P368" s="62">
        <f>SUM(P364:P367)</f>
        <v>1784138.3856800001</v>
      </c>
      <c r="Q368" s="12"/>
      <c r="R368" s="62">
        <f>SUM(R364:R367)</f>
        <v>1617520.0402599999</v>
      </c>
    </row>
    <row r="369" spans="1:18" ht="13.8" thickTop="1" x14ac:dyDescent="0.25">
      <c r="A369" s="115">
        <f t="shared" si="6"/>
        <v>8</v>
      </c>
      <c r="B369" s="121"/>
      <c r="F369" s="126"/>
      <c r="O369" s="112"/>
    </row>
    <row r="370" spans="1:18" x14ac:dyDescent="0.25">
      <c r="A370" s="115">
        <f t="shared" si="6"/>
        <v>9</v>
      </c>
      <c r="B370" s="121"/>
      <c r="D370" s="110" t="s">
        <v>128</v>
      </c>
      <c r="F370" s="126"/>
      <c r="I370" s="14"/>
      <c r="K370" s="14"/>
      <c r="M370" s="14"/>
      <c r="O370" s="14"/>
      <c r="Q370" s="14"/>
    </row>
    <row r="371" spans="1:18" x14ac:dyDescent="0.25">
      <c r="A371" s="115">
        <f t="shared" si="6"/>
        <v>10</v>
      </c>
      <c r="B371" s="121"/>
      <c r="C371" s="113">
        <v>34198</v>
      </c>
      <c r="D371" s="110" t="s">
        <v>45</v>
      </c>
      <c r="F371" s="125">
        <f>VLOOKUP($C371,'ASDR FY1'!$A:$X,F$15,FALSE)*100</f>
        <v>3.3000000000000003</v>
      </c>
      <c r="G371" s="112"/>
      <c r="H371" s="7">
        <f>VLOOKUP($C371,'ASDR FY1'!$A:$X,H$15,FALSE)/1000</f>
        <v>0</v>
      </c>
      <c r="I371" s="8"/>
      <c r="J371" s="7">
        <f>VLOOKUP($C371,'ASDR FY1'!$A:$X,J$15,FALSE)/1000</f>
        <v>0</v>
      </c>
      <c r="K371" s="9"/>
      <c r="L371" s="7">
        <f>VLOOKUP($C371,'ASDR FY1'!$A:$X,L$15,FALSE)/1000</f>
        <v>0</v>
      </c>
      <c r="M371" s="9"/>
      <c r="N371" s="7">
        <f>VLOOKUP($C371,'ASDR FY1'!$A:$X,N$14,FALSE)/1000+VLOOKUP($C371,'ASDR FY1'!$A:$X,N$15,FALSE)/1000</f>
        <v>0</v>
      </c>
      <c r="O371" s="8"/>
      <c r="P371" s="7">
        <f>SUM(H371,J371,L371,N371)</f>
        <v>0</v>
      </c>
      <c r="Q371" s="9"/>
      <c r="R371" s="7">
        <f>VLOOKUP($C371,'ASDR FY1'!$A:$X,R$15,FALSE)/1000</f>
        <v>0</v>
      </c>
    </row>
    <row r="372" spans="1:18" x14ac:dyDescent="0.25">
      <c r="A372" s="115">
        <f t="shared" si="6"/>
        <v>11</v>
      </c>
      <c r="B372" s="121"/>
      <c r="C372" s="115">
        <v>34398</v>
      </c>
      <c r="D372" s="110" t="s">
        <v>82</v>
      </c>
      <c r="F372" s="125">
        <f>VLOOKUP($C372,'ASDR FY1'!$A:$X,F$15,FALSE)*100</f>
        <v>3.3000000000000003</v>
      </c>
      <c r="G372" s="112"/>
      <c r="H372" s="7">
        <f>VLOOKUP($C372,'ASDR FY1'!$A:$X,H$15,FALSE)/1000</f>
        <v>940.67219000000023</v>
      </c>
      <c r="I372" s="8"/>
      <c r="J372" s="7">
        <f>VLOOKUP($C372,'ASDR FY1'!$A:$X,J$15,FALSE)/1000</f>
        <v>0</v>
      </c>
      <c r="K372" s="9"/>
      <c r="L372" s="7">
        <f>VLOOKUP($C372,'ASDR FY1'!$A:$X,L$15,FALSE)/1000</f>
        <v>0</v>
      </c>
      <c r="M372" s="9"/>
      <c r="N372" s="7">
        <f>VLOOKUP($C372,'ASDR FY1'!$A:$X,N$14,FALSE)/1000+VLOOKUP($C372,'ASDR FY1'!$A:$X,N$15,FALSE)/1000</f>
        <v>0</v>
      </c>
      <c r="O372" s="8"/>
      <c r="P372" s="7">
        <f>SUM(H372,J372,L372,N372)</f>
        <v>940.67219000000023</v>
      </c>
      <c r="Q372" s="9"/>
      <c r="R372" s="7">
        <f>VLOOKUP($C372,'ASDR FY1'!$A:$X,R$15,FALSE)/1000</f>
        <v>940.67219</v>
      </c>
    </row>
    <row r="373" spans="1:18" x14ac:dyDescent="0.25">
      <c r="A373" s="115">
        <f t="shared" si="6"/>
        <v>12</v>
      </c>
      <c r="B373" s="121"/>
      <c r="C373" s="115">
        <v>34598</v>
      </c>
      <c r="D373" s="110" t="s">
        <v>48</v>
      </c>
      <c r="F373" s="125">
        <f>VLOOKUP($C373,'ASDR FY1'!$A:$X,F$15,FALSE)*100</f>
        <v>3.3000000000000003</v>
      </c>
      <c r="G373" s="112"/>
      <c r="H373" s="7">
        <f>VLOOKUP($C373,'ASDR FY1'!$A:$X,H$15,FALSE)/1000</f>
        <v>0</v>
      </c>
      <c r="I373" s="8"/>
      <c r="J373" s="7">
        <f>VLOOKUP($C373,'ASDR FY1'!$A:$X,J$15,FALSE)/1000</f>
        <v>0</v>
      </c>
      <c r="K373" s="9"/>
      <c r="L373" s="7">
        <f>VLOOKUP($C373,'ASDR FY1'!$A:$X,L$15,FALSE)/1000</f>
        <v>0</v>
      </c>
      <c r="M373" s="9"/>
      <c r="N373" s="7">
        <f>VLOOKUP($C373,'ASDR FY1'!$A:$X,N$14,FALSE)/1000+VLOOKUP($C373,'ASDR FY1'!$A:$X,N$15,FALSE)/1000</f>
        <v>0</v>
      </c>
      <c r="O373" s="8"/>
      <c r="P373" s="7">
        <f>SUM(H373,J373,L373,N373)</f>
        <v>0</v>
      </c>
      <c r="Q373" s="9"/>
      <c r="R373" s="7">
        <f>VLOOKUP($C373,'ASDR FY1'!$A:$X,R$15,FALSE)/1000</f>
        <v>0</v>
      </c>
    </row>
    <row r="374" spans="1:18" x14ac:dyDescent="0.25">
      <c r="A374" s="115">
        <f t="shared" si="6"/>
        <v>13</v>
      </c>
      <c r="B374" s="121"/>
      <c r="C374" s="113">
        <v>34898</v>
      </c>
      <c r="D374" s="110" t="s">
        <v>126</v>
      </c>
      <c r="F374" s="125">
        <f>VLOOKUP($C374,'ASDR FY1'!$A:$X,F$15,FALSE)*100</f>
        <v>10</v>
      </c>
      <c r="G374" s="112"/>
      <c r="H374" s="7">
        <f>VLOOKUP($C374,'ASDR FY1'!$A:$X,H$15,FALSE)/1000</f>
        <v>9.2370299999999972</v>
      </c>
      <c r="I374" s="8"/>
      <c r="J374" s="7">
        <f>VLOOKUP($C374,'ASDR FY1'!$A:$X,J$15,FALSE)/1000</f>
        <v>0</v>
      </c>
      <c r="K374" s="9"/>
      <c r="L374" s="7">
        <f>VLOOKUP($C374,'ASDR FY1'!$A:$X,L$15,FALSE)/1000</f>
        <v>0</v>
      </c>
      <c r="M374" s="9"/>
      <c r="N374" s="7">
        <f>VLOOKUP($C374,'ASDR FY1'!$A:$X,N$14,FALSE)/1000+VLOOKUP($C374,'ASDR FY1'!$A:$X,N$15,FALSE)/1000</f>
        <v>0</v>
      </c>
      <c r="O374" s="8"/>
      <c r="P374" s="7">
        <f>SUM(H374,J374,L374,N374)</f>
        <v>9.2370299999999972</v>
      </c>
      <c r="Q374" s="9"/>
      <c r="R374" s="7">
        <f>VLOOKUP($C374,'ASDR FY1'!$A:$X,R$15,FALSE)/1000</f>
        <v>9.2370300000000007</v>
      </c>
    </row>
    <row r="375" spans="1:18" ht="13.8" thickBot="1" x14ac:dyDescent="0.3">
      <c r="A375" s="115">
        <f t="shared" si="6"/>
        <v>14</v>
      </c>
      <c r="B375" s="121"/>
      <c r="C375" s="115"/>
      <c r="D375" s="110" t="s">
        <v>129</v>
      </c>
      <c r="F375" s="125"/>
      <c r="H375" s="62">
        <f>SUM(H371:H374)</f>
        <v>949.90922000000023</v>
      </c>
      <c r="I375" s="7"/>
      <c r="J375" s="62">
        <f>SUM(J371:J374)</f>
        <v>0</v>
      </c>
      <c r="K375" s="12"/>
      <c r="L375" s="62">
        <f>SUM(L371:L374)</f>
        <v>0</v>
      </c>
      <c r="M375" s="12"/>
      <c r="N375" s="62">
        <f>SUM(N371:N374)</f>
        <v>0</v>
      </c>
      <c r="O375" s="12"/>
      <c r="P375" s="62">
        <f>SUM(P371:P374)</f>
        <v>949.90922000000023</v>
      </c>
      <c r="Q375" s="12"/>
      <c r="R375" s="62">
        <f>SUM(R371:R374)</f>
        <v>949.90922</v>
      </c>
    </row>
    <row r="376" spans="1:18" ht="13.8" thickTop="1" x14ac:dyDescent="0.25">
      <c r="A376" s="115">
        <f t="shared" si="6"/>
        <v>15</v>
      </c>
      <c r="B376" s="121"/>
      <c r="F376" s="126"/>
      <c r="O376" s="112"/>
    </row>
    <row r="377" spans="1:18" x14ac:dyDescent="0.25">
      <c r="A377" s="115">
        <f t="shared" si="6"/>
        <v>16</v>
      </c>
      <c r="B377" s="121"/>
      <c r="C377" s="125"/>
      <c r="D377" s="136" t="s">
        <v>130</v>
      </c>
      <c r="F377" s="126"/>
      <c r="O377" s="112"/>
    </row>
    <row r="378" spans="1:18" x14ac:dyDescent="0.25">
      <c r="A378" s="115">
        <f t="shared" si="6"/>
        <v>17</v>
      </c>
      <c r="B378" s="121"/>
      <c r="C378" s="113">
        <v>34120</v>
      </c>
      <c r="D378" s="110" t="s">
        <v>45</v>
      </c>
      <c r="F378" s="125">
        <f>VLOOKUP($C378,'ASDR FY1'!$A:$X,F$15,FALSE)*100</f>
        <v>0</v>
      </c>
      <c r="G378" s="112"/>
      <c r="H378" s="7">
        <f>VLOOKUP($C378,'ASDR FY1'!$A:$X,H$15,FALSE)/1000</f>
        <v>0</v>
      </c>
      <c r="I378" s="8"/>
      <c r="J378" s="7">
        <f>VLOOKUP($C378,'ASDR FY1'!$A:$X,J$15,FALSE)/1000</f>
        <v>0</v>
      </c>
      <c r="K378" s="9"/>
      <c r="L378" s="7">
        <f>VLOOKUP($C378,'ASDR FY1'!$A:$X,L$15,FALSE)/1000</f>
        <v>0</v>
      </c>
      <c r="M378" s="9"/>
      <c r="N378" s="7">
        <f>VLOOKUP($C378,'ASDR FY1'!$A:$X,N$14,FALSE)/1000+VLOOKUP($C378,'ASDR FY1'!$A:$X,N$15,FALSE)/1000</f>
        <v>0</v>
      </c>
      <c r="O378" s="8"/>
      <c r="P378" s="7">
        <f t="shared" ref="P378:P383" si="7">SUM(H378,J378,L378,N378)</f>
        <v>0</v>
      </c>
      <c r="Q378" s="9"/>
      <c r="R378" s="7">
        <f>VLOOKUP($C378,'ASDR FY1'!$A:$X,R$15,FALSE)/1000</f>
        <v>0</v>
      </c>
    </row>
    <row r="379" spans="1:18" x14ac:dyDescent="0.25">
      <c r="A379" s="115">
        <f t="shared" si="6"/>
        <v>18</v>
      </c>
      <c r="B379" s="129"/>
      <c r="C379" s="113">
        <v>34220</v>
      </c>
      <c r="D379" s="110" t="s">
        <v>81</v>
      </c>
      <c r="F379" s="125">
        <f>VLOOKUP($C379,'ASDR FY1'!$A:$X,F$15,FALSE)*100</f>
        <v>0</v>
      </c>
      <c r="G379" s="112"/>
      <c r="H379" s="7">
        <f>VLOOKUP($C379,'ASDR FY1'!$A:$X,H$15,FALSE)/1000</f>
        <v>0</v>
      </c>
      <c r="I379" s="8"/>
      <c r="J379" s="7">
        <f>VLOOKUP($C379,'ASDR FY1'!$A:$X,J$15,FALSE)/1000</f>
        <v>0</v>
      </c>
      <c r="K379" s="9"/>
      <c r="L379" s="7">
        <f>VLOOKUP($C379,'ASDR FY1'!$A:$X,L$15,FALSE)/1000</f>
        <v>0</v>
      </c>
      <c r="M379" s="9"/>
      <c r="N379" s="7">
        <f>VLOOKUP($C379,'ASDR FY1'!$A:$X,N$14,FALSE)/1000+VLOOKUP($C379,'ASDR FY1'!$A:$X,N$15,FALSE)/1000</f>
        <v>0</v>
      </c>
      <c r="O379" s="8"/>
      <c r="P379" s="7">
        <f t="shared" si="7"/>
        <v>0</v>
      </c>
      <c r="Q379" s="9"/>
      <c r="R379" s="7">
        <f>VLOOKUP($C379,'ASDR FY1'!$A:$X,R$15,FALSE)/1000</f>
        <v>0</v>
      </c>
    </row>
    <row r="380" spans="1:18" x14ac:dyDescent="0.25">
      <c r="A380" s="115">
        <f t="shared" si="6"/>
        <v>19</v>
      </c>
      <c r="B380" s="129"/>
      <c r="C380" s="113">
        <v>34320</v>
      </c>
      <c r="D380" s="110" t="s">
        <v>82</v>
      </c>
      <c r="F380" s="125">
        <f>VLOOKUP($C380,'ASDR FY1'!$A:$X,F$15,FALSE)*100</f>
        <v>0</v>
      </c>
      <c r="G380" s="112"/>
      <c r="H380" s="7">
        <f>VLOOKUP($C380,'ASDR FY1'!$A:$X,H$15,FALSE)/1000</f>
        <v>0</v>
      </c>
      <c r="I380" s="8"/>
      <c r="J380" s="7">
        <f>VLOOKUP($C380,'ASDR FY1'!$A:$X,J$15,FALSE)/1000</f>
        <v>0</v>
      </c>
      <c r="K380" s="9"/>
      <c r="L380" s="7">
        <f>VLOOKUP($C380,'ASDR FY1'!$A:$X,L$15,FALSE)/1000</f>
        <v>0</v>
      </c>
      <c r="M380" s="9"/>
      <c r="N380" s="7">
        <f>VLOOKUP($C380,'ASDR FY1'!$A:$X,N$14,FALSE)/1000+VLOOKUP($C380,'ASDR FY1'!$A:$X,N$15,FALSE)/1000</f>
        <v>0</v>
      </c>
      <c r="O380" s="8"/>
      <c r="P380" s="7">
        <f t="shared" si="7"/>
        <v>0</v>
      </c>
      <c r="Q380" s="9"/>
      <c r="R380" s="7">
        <f>VLOOKUP($C380,'ASDR FY1'!$A:$X,R$15,FALSE)/1000</f>
        <v>0</v>
      </c>
    </row>
    <row r="381" spans="1:18" x14ac:dyDescent="0.25">
      <c r="A381" s="115">
        <f t="shared" si="6"/>
        <v>20</v>
      </c>
      <c r="B381" s="121"/>
      <c r="C381" s="113">
        <v>34520</v>
      </c>
      <c r="D381" s="110" t="s">
        <v>48</v>
      </c>
      <c r="F381" s="125">
        <f>VLOOKUP($C381,'ASDR FY1'!$A:$X,F$15,FALSE)*100</f>
        <v>0</v>
      </c>
      <c r="G381" s="112"/>
      <c r="H381" s="7">
        <f>VLOOKUP($C381,'ASDR FY1'!$A:$X,H$15,FALSE)/1000</f>
        <v>0</v>
      </c>
      <c r="I381" s="8"/>
      <c r="J381" s="7">
        <f>VLOOKUP($C381,'ASDR FY1'!$A:$X,J$15,FALSE)/1000</f>
        <v>0</v>
      </c>
      <c r="K381" s="9"/>
      <c r="L381" s="7">
        <f>VLOOKUP($C381,'ASDR FY1'!$A:$X,L$15,FALSE)/1000</f>
        <v>0</v>
      </c>
      <c r="M381" s="9"/>
      <c r="N381" s="7">
        <f>VLOOKUP($C381,'ASDR FY1'!$A:$X,N$14,FALSE)/1000+VLOOKUP($C381,'ASDR FY1'!$A:$X,N$15,FALSE)/1000</f>
        <v>0</v>
      </c>
      <c r="O381" s="8"/>
      <c r="P381" s="7">
        <f t="shared" si="7"/>
        <v>0</v>
      </c>
      <c r="Q381" s="9"/>
      <c r="R381" s="7">
        <f>VLOOKUP($C381,'ASDR FY1'!$A:$X,R$15,FALSE)/1000</f>
        <v>0</v>
      </c>
    </row>
    <row r="382" spans="1:18" x14ac:dyDescent="0.25">
      <c r="A382" s="115">
        <f t="shared" si="6"/>
        <v>21</v>
      </c>
      <c r="B382" s="121"/>
      <c r="C382" s="113">
        <v>34620</v>
      </c>
      <c r="D382" s="110" t="s">
        <v>49</v>
      </c>
      <c r="F382" s="125">
        <f>VLOOKUP($C382,'ASDR FY1'!$A:$X,F$15,FALSE)*100</f>
        <v>0</v>
      </c>
      <c r="G382" s="112"/>
      <c r="H382" s="7">
        <f>VLOOKUP($C382,'ASDR FY1'!$A:$X,H$15,FALSE)/1000</f>
        <v>0</v>
      </c>
      <c r="I382" s="8"/>
      <c r="J382" s="7">
        <f>VLOOKUP($C382,'ASDR FY1'!$A:$X,J$15,FALSE)/1000</f>
        <v>0</v>
      </c>
      <c r="K382" s="9"/>
      <c r="L382" s="7">
        <f>VLOOKUP($C382,'ASDR FY1'!$A:$X,L$15,FALSE)/1000</f>
        <v>0</v>
      </c>
      <c r="M382" s="9"/>
      <c r="N382" s="7">
        <f>VLOOKUP($C382,'ASDR FY1'!$A:$X,N$14,FALSE)/1000+VLOOKUP($C382,'ASDR FY1'!$A:$X,N$15,FALSE)/1000</f>
        <v>0</v>
      </c>
      <c r="O382" s="8"/>
      <c r="P382" s="7">
        <f t="shared" si="7"/>
        <v>0</v>
      </c>
      <c r="Q382" s="9"/>
      <c r="R382" s="7">
        <f>VLOOKUP($C382,'ASDR FY1'!$A:$X,R$15,FALSE)/1000</f>
        <v>0</v>
      </c>
    </row>
    <row r="383" spans="1:18" x14ac:dyDescent="0.25">
      <c r="A383" s="115">
        <f t="shared" si="6"/>
        <v>22</v>
      </c>
      <c r="B383" s="121"/>
      <c r="C383" s="113">
        <v>34820</v>
      </c>
      <c r="D383" s="110" t="s">
        <v>126</v>
      </c>
      <c r="F383" s="125">
        <f>VLOOKUP($C383,'ASDR FY1'!$A:$X,F$15,FALSE)*100</f>
        <v>0</v>
      </c>
      <c r="G383" s="112"/>
      <c r="H383" s="7">
        <f>VLOOKUP($C383,'ASDR FY1'!$A:$X,H$15,FALSE)/1000</f>
        <v>0</v>
      </c>
      <c r="I383" s="8"/>
      <c r="J383" s="7">
        <f>VLOOKUP($C383,'ASDR FY1'!$A:$X,J$15,FALSE)/1000</f>
        <v>0</v>
      </c>
      <c r="K383" s="9"/>
      <c r="L383" s="7">
        <f>VLOOKUP($C383,'ASDR FY1'!$A:$X,L$15,FALSE)/1000</f>
        <v>0</v>
      </c>
      <c r="M383" s="9"/>
      <c r="N383" s="7">
        <f>VLOOKUP($C383,'ASDR FY1'!$A:$X,N$14,FALSE)/1000+VLOOKUP($C383,'ASDR FY1'!$A:$X,N$15,FALSE)/1000</f>
        <v>0</v>
      </c>
      <c r="O383" s="8"/>
      <c r="P383" s="7">
        <f t="shared" si="7"/>
        <v>0</v>
      </c>
      <c r="Q383" s="9"/>
      <c r="R383" s="7">
        <f>VLOOKUP($C383,'ASDR FY1'!$A:$X,R$15,FALSE)/1000</f>
        <v>0</v>
      </c>
    </row>
    <row r="384" spans="1:18" ht="13.8" thickBot="1" x14ac:dyDescent="0.3">
      <c r="A384" s="115">
        <f t="shared" si="6"/>
        <v>23</v>
      </c>
      <c r="B384" s="121"/>
      <c r="D384" s="136" t="s">
        <v>131</v>
      </c>
      <c r="F384" s="126"/>
      <c r="H384" s="62">
        <f>SUM(H378:H383)</f>
        <v>0</v>
      </c>
      <c r="I384" s="7"/>
      <c r="J384" s="62">
        <f>SUM(J378:J383)</f>
        <v>0</v>
      </c>
      <c r="K384" s="12"/>
      <c r="L384" s="62">
        <f>SUM(L378:L383)</f>
        <v>0</v>
      </c>
      <c r="M384" s="12"/>
      <c r="N384" s="62">
        <f>SUM(N378:N383)</f>
        <v>0</v>
      </c>
      <c r="O384" s="12"/>
      <c r="P384" s="62">
        <f>SUM(P378:P383)</f>
        <v>0</v>
      </c>
      <c r="Q384" s="9"/>
      <c r="R384" s="62">
        <f>SUM(R378:R383)</f>
        <v>0</v>
      </c>
    </row>
    <row r="385" spans="1:18" ht="13.8" thickTop="1" x14ac:dyDescent="0.25">
      <c r="A385" s="115">
        <f t="shared" si="6"/>
        <v>24</v>
      </c>
      <c r="B385" s="121"/>
      <c r="F385" s="126"/>
    </row>
    <row r="386" spans="1:18" ht="13.8" thickBot="1" x14ac:dyDescent="0.3">
      <c r="A386" s="115">
        <f t="shared" si="6"/>
        <v>25</v>
      </c>
      <c r="B386" s="121"/>
      <c r="C386" s="115"/>
      <c r="D386" s="110" t="s">
        <v>132</v>
      </c>
      <c r="F386" s="126"/>
      <c r="H386" s="25">
        <f>SUM(H172,H266,H346,H368,H375,H384)</f>
        <v>5080671.2859099992</v>
      </c>
      <c r="I386" s="14"/>
      <c r="J386" s="25">
        <f>SUM(J172,J266,J346,J368,J375,J384)</f>
        <v>392292.12367999996</v>
      </c>
      <c r="K386" s="14"/>
      <c r="L386" s="25">
        <f>SUM(L172,L266,L346,L368,L375,L384)</f>
        <v>-38470.354189999991</v>
      </c>
      <c r="M386" s="14"/>
      <c r="N386" s="25">
        <f>SUM(N172,N266,N346,N368,N375,N384)</f>
        <v>0</v>
      </c>
      <c r="O386" s="14"/>
      <c r="P386" s="25">
        <f>SUM(P172,P266,P346,P368,P375,P384)</f>
        <v>5434493.0554</v>
      </c>
      <c r="Q386" s="14"/>
      <c r="R386" s="25">
        <f>SUM(R172,R266,R346,R368,R375,R384)</f>
        <v>5205000.8080900004</v>
      </c>
    </row>
    <row r="387" spans="1:18" ht="13.8" thickTop="1" x14ac:dyDescent="0.25">
      <c r="A387" s="115">
        <f t="shared" si="6"/>
        <v>26</v>
      </c>
      <c r="C387" s="113"/>
      <c r="F387" s="126"/>
      <c r="H387" s="141"/>
      <c r="I387" s="14"/>
      <c r="J387" s="141"/>
      <c r="K387" s="14"/>
      <c r="L387" s="141"/>
      <c r="M387" s="14"/>
      <c r="N387" s="141"/>
      <c r="O387" s="14"/>
      <c r="P387" s="141"/>
      <c r="Q387" s="14"/>
      <c r="R387" s="141"/>
    </row>
    <row r="388" spans="1:18" ht="13.8" thickBot="1" x14ac:dyDescent="0.3">
      <c r="A388" s="115">
        <f t="shared" si="6"/>
        <v>27</v>
      </c>
      <c r="C388" s="113"/>
      <c r="D388" s="110" t="s">
        <v>133</v>
      </c>
      <c r="F388" s="126"/>
      <c r="H388" s="18">
        <f>H386+H136</f>
        <v>6519743.6921199989</v>
      </c>
      <c r="I388" s="14"/>
      <c r="J388" s="18">
        <f>J386+J136</f>
        <v>432077.44867999997</v>
      </c>
      <c r="K388" s="14"/>
      <c r="L388" s="18">
        <f>L386+L136</f>
        <v>-46503.132739999994</v>
      </c>
      <c r="M388" s="14"/>
      <c r="N388" s="18">
        <f>N386+N136</f>
        <v>0</v>
      </c>
      <c r="O388" s="14"/>
      <c r="P388" s="18">
        <f>P386+P136</f>
        <v>6905318.008059999</v>
      </c>
      <c r="Q388" s="14"/>
      <c r="R388" s="18">
        <f>R386+R136</f>
        <v>6665354.2248400003</v>
      </c>
    </row>
    <row r="389" spans="1:18" ht="13.8" thickTop="1" x14ac:dyDescent="0.25">
      <c r="A389" s="115">
        <f t="shared" si="6"/>
        <v>28</v>
      </c>
      <c r="B389" s="121"/>
      <c r="F389" s="126"/>
      <c r="O389" s="112"/>
    </row>
    <row r="390" spans="1:18" x14ac:dyDescent="0.25">
      <c r="A390" s="115">
        <f t="shared" si="6"/>
        <v>29</v>
      </c>
      <c r="B390" s="121"/>
      <c r="C390" s="115"/>
      <c r="D390" s="127" t="s">
        <v>134</v>
      </c>
      <c r="E390" s="127"/>
      <c r="F390" s="126"/>
      <c r="H390" s="14"/>
      <c r="I390" s="14"/>
      <c r="J390" s="146"/>
      <c r="K390" s="146"/>
      <c r="L390" s="147"/>
      <c r="M390" s="146"/>
      <c r="N390" s="146"/>
      <c r="O390" s="141"/>
      <c r="P390" s="146"/>
      <c r="Q390" s="146"/>
      <c r="R390" s="146"/>
    </row>
    <row r="391" spans="1:18" x14ac:dyDescent="0.25">
      <c r="A391" s="115">
        <f t="shared" si="6"/>
        <v>30</v>
      </c>
      <c r="B391" s="121"/>
      <c r="C391" s="113">
        <v>35001</v>
      </c>
      <c r="D391" s="148" t="s">
        <v>135</v>
      </c>
      <c r="F391" s="125">
        <f>VLOOKUP($C391,'ASDR FY1'!$A:$X,F$15,FALSE)*100</f>
        <v>1.3</v>
      </c>
      <c r="G391" s="112"/>
      <c r="H391" s="7">
        <f>VLOOKUP($C391,'ASDR FY1'!$A:$X,H$15,FALSE)/1000</f>
        <v>12162.254090000002</v>
      </c>
      <c r="I391" s="8"/>
      <c r="J391" s="7">
        <f>VLOOKUP($C391,'ASDR FY1'!$A:$X,J$15,FALSE)/1000</f>
        <v>0</v>
      </c>
      <c r="K391" s="9"/>
      <c r="L391" s="7">
        <f>VLOOKUP($C391,'ASDR FY1'!$A:$X,L$15,FALSE)/1000</f>
        <v>0</v>
      </c>
      <c r="M391" s="9"/>
      <c r="N391" s="7">
        <f>VLOOKUP($C391,'ASDR FY1'!$A:$X,N$14,FALSE)/1000+VLOOKUP($C391,'ASDR FY1'!$A:$X,N$15,FALSE)/1000</f>
        <v>0</v>
      </c>
      <c r="O391" s="8"/>
      <c r="P391" s="7">
        <f>SUM(H391,J391,L391,N391)</f>
        <v>12162.254090000002</v>
      </c>
      <c r="Q391" s="9"/>
      <c r="R391" s="7">
        <f>VLOOKUP($C391,'ASDR FY1'!$A:$X,R$15,FALSE)/1000</f>
        <v>12162.25409</v>
      </c>
    </row>
    <row r="392" spans="1:18" x14ac:dyDescent="0.25">
      <c r="A392" s="115">
        <f t="shared" si="6"/>
        <v>31</v>
      </c>
      <c r="B392" s="121"/>
      <c r="C392" s="115">
        <v>35100</v>
      </c>
      <c r="D392" s="110" t="s">
        <v>136</v>
      </c>
      <c r="F392" s="125">
        <f>VLOOKUP($C392,'ASDR FY1'!$A:$X,F$15,FALSE)*100</f>
        <v>10</v>
      </c>
      <c r="G392" s="112"/>
      <c r="H392" s="7">
        <f>VLOOKUP($C392,'ASDR FY1'!$A:$X,H$15,FALSE)/1000</f>
        <v>0</v>
      </c>
      <c r="I392" s="8"/>
      <c r="J392" s="7">
        <f>VLOOKUP($C392,'ASDR FY1'!$A:$X,J$15,FALSE)/1000</f>
        <v>0</v>
      </c>
      <c r="K392" s="9"/>
      <c r="L392" s="7">
        <f>VLOOKUP($C392,'ASDR FY1'!$A:$X,L$15,FALSE)/1000</f>
        <v>0</v>
      </c>
      <c r="M392" s="9"/>
      <c r="N392" s="7">
        <f>VLOOKUP($C392,'ASDR FY1'!$A:$X,N$14,FALSE)/1000+VLOOKUP($C392,'ASDR FY1'!$A:$X,N$15,FALSE)/1000</f>
        <v>0</v>
      </c>
      <c r="O392" s="8"/>
      <c r="P392" s="7">
        <f>SUM(H392,J392,L392,N392)</f>
        <v>0</v>
      </c>
      <c r="Q392" s="9"/>
      <c r="R392" s="7">
        <f>VLOOKUP($C392,'ASDR FY1'!$A:$X,R$15,FALSE)/1000</f>
        <v>0</v>
      </c>
    </row>
    <row r="393" spans="1:18" x14ac:dyDescent="0.25">
      <c r="A393" s="115">
        <f t="shared" si="6"/>
        <v>32</v>
      </c>
      <c r="B393" s="121"/>
      <c r="C393" s="113">
        <v>35200</v>
      </c>
      <c r="D393" s="148" t="s">
        <v>137</v>
      </c>
      <c r="F393" s="125">
        <f>VLOOKUP($C393,'ASDR FY1'!$A:$X,F$15,FALSE)*100</f>
        <v>1.7999999999999998</v>
      </c>
      <c r="G393" s="112"/>
      <c r="H393" s="7">
        <f>VLOOKUP($C393,'ASDR FY1'!$A:$X,H$15,FALSE)/1000</f>
        <v>74793.268689999997</v>
      </c>
      <c r="I393" s="8"/>
      <c r="J393" s="7">
        <f>VLOOKUP($C393,'ASDR FY1'!$A:$X,J$15,FALSE)/1000</f>
        <v>1484.11103</v>
      </c>
      <c r="K393" s="9"/>
      <c r="L393" s="7">
        <f>VLOOKUP($C393,'ASDR FY1'!$A:$X,L$15,FALSE)/1000</f>
        <v>0</v>
      </c>
      <c r="M393" s="9"/>
      <c r="N393" s="7">
        <f>VLOOKUP($C393,'ASDR FY1'!$A:$X,N$14,FALSE)/1000+VLOOKUP($C393,'ASDR FY1'!$A:$X,N$15,FALSE)/1000</f>
        <v>0</v>
      </c>
      <c r="O393" s="8"/>
      <c r="P393" s="7">
        <f t="shared" ref="P393:P401" si="8">SUM(H393,J393,L393,N393)</f>
        <v>76277.379719999997</v>
      </c>
      <c r="Q393" s="9"/>
      <c r="R393" s="7">
        <f>VLOOKUP($C393,'ASDR FY1'!$A:$X,R$15,FALSE)/1000</f>
        <v>75478.243010000006</v>
      </c>
    </row>
    <row r="394" spans="1:18" x14ac:dyDescent="0.25">
      <c r="A394" s="115">
        <f t="shared" si="6"/>
        <v>33</v>
      </c>
      <c r="B394" s="121"/>
      <c r="C394" s="113">
        <v>35300</v>
      </c>
      <c r="D394" s="149" t="s">
        <v>138</v>
      </c>
      <c r="E394" s="127"/>
      <c r="F394" s="125">
        <f>VLOOKUP($C394,'ASDR FY1'!$A:$X,F$15,FALSE)*100</f>
        <v>2.4</v>
      </c>
      <c r="G394" s="112"/>
      <c r="H394" s="7">
        <f>VLOOKUP($C394,'ASDR FY1'!$A:$X,H$15,FALSE)/1000</f>
        <v>435845.56096000032</v>
      </c>
      <c r="I394" s="8"/>
      <c r="J394" s="7">
        <f>VLOOKUP($C394,'ASDR FY1'!$A:$X,J$15,FALSE)/1000</f>
        <v>15806.836080000001</v>
      </c>
      <c r="K394" s="9"/>
      <c r="L394" s="7">
        <f>VLOOKUP($C394,'ASDR FY1'!$A:$X,L$15,FALSE)/1000</f>
        <v>-2371.0253900000002</v>
      </c>
      <c r="M394" s="9"/>
      <c r="N394" s="7">
        <f>VLOOKUP($C394,'ASDR FY1'!$A:$X,N$14,FALSE)/1000+VLOOKUP($C394,'ASDR FY1'!$A:$X,N$15,FALSE)/1000</f>
        <v>0</v>
      </c>
      <c r="O394" s="8"/>
      <c r="P394" s="7">
        <f t="shared" si="8"/>
        <v>449281.37165000028</v>
      </c>
      <c r="Q394" s="9"/>
      <c r="R394" s="7">
        <f>VLOOKUP($C394,'ASDR FY1'!$A:$X,R$15,FALSE)/1000</f>
        <v>443615.50244999997</v>
      </c>
    </row>
    <row r="395" spans="1:18" x14ac:dyDescent="0.25">
      <c r="A395" s="115">
        <f t="shared" si="6"/>
        <v>34</v>
      </c>
      <c r="B395" s="121"/>
      <c r="C395" s="113">
        <v>35400</v>
      </c>
      <c r="D395" s="149" t="s">
        <v>139</v>
      </c>
      <c r="E395" s="127"/>
      <c r="F395" s="125">
        <f>VLOOKUP($C395,'ASDR FY1'!$A:$X,F$15,FALSE)*100</f>
        <v>2.8000000000000003</v>
      </c>
      <c r="G395" s="112"/>
      <c r="H395" s="7">
        <f>VLOOKUP($C395,'ASDR FY1'!$A:$X,H$15,FALSE)/1000</f>
        <v>5092.0605500000001</v>
      </c>
      <c r="I395" s="8"/>
      <c r="J395" s="7">
        <f>VLOOKUP($C395,'ASDR FY1'!$A:$X,J$15,FALSE)/1000</f>
        <v>0</v>
      </c>
      <c r="K395" s="9"/>
      <c r="L395" s="7">
        <f>VLOOKUP($C395,'ASDR FY1'!$A:$X,L$15,FALSE)/1000</f>
        <v>0</v>
      </c>
      <c r="M395" s="9"/>
      <c r="N395" s="7">
        <f>VLOOKUP($C395,'ASDR FY1'!$A:$X,N$14,FALSE)/1000+VLOOKUP($C395,'ASDR FY1'!$A:$X,N$15,FALSE)/1000</f>
        <v>0</v>
      </c>
      <c r="O395" s="8"/>
      <c r="P395" s="7">
        <f t="shared" si="8"/>
        <v>5092.0605500000001</v>
      </c>
      <c r="Q395" s="9"/>
      <c r="R395" s="7">
        <f>VLOOKUP($C395,'ASDR FY1'!$A:$X,R$15,FALSE)/1000</f>
        <v>5092.0605500000001</v>
      </c>
    </row>
    <row r="396" spans="1:18" x14ac:dyDescent="0.25">
      <c r="A396" s="115">
        <f t="shared" si="6"/>
        <v>35</v>
      </c>
      <c r="B396" s="121"/>
      <c r="C396" s="113">
        <v>35500</v>
      </c>
      <c r="D396" s="148" t="s">
        <v>140</v>
      </c>
      <c r="F396" s="125">
        <f>VLOOKUP($C396,'ASDR FY1'!$A:$X,F$15,FALSE)*100</f>
        <v>2.8000000000000003</v>
      </c>
      <c r="G396" s="112"/>
      <c r="H396" s="7">
        <f>VLOOKUP($C396,'ASDR FY1'!$A:$X,H$15,FALSE)/1000</f>
        <v>418715.16397999995</v>
      </c>
      <c r="I396" s="8"/>
      <c r="J396" s="7">
        <f>VLOOKUP($C396,'ASDR FY1'!$A:$X,J$15,FALSE)/1000</f>
        <v>88695.66433</v>
      </c>
      <c r="K396" s="9"/>
      <c r="L396" s="7">
        <f>VLOOKUP($C396,'ASDR FY1'!$A:$X,L$15,FALSE)/1000</f>
        <v>-5321.7398700000003</v>
      </c>
      <c r="M396" s="9"/>
      <c r="N396" s="7">
        <f>VLOOKUP($C396,'ASDR FY1'!$A:$X,N$14,FALSE)/1000+VLOOKUP($C396,'ASDR FY1'!$A:$X,N$15,FALSE)/1000</f>
        <v>0</v>
      </c>
      <c r="O396" s="8"/>
      <c r="P396" s="7">
        <f t="shared" si="8"/>
        <v>502089.08843999996</v>
      </c>
      <c r="Q396" s="9"/>
      <c r="R396" s="7">
        <f>VLOOKUP($C396,'ASDR FY1'!$A:$X,R$15,FALSE)/1000</f>
        <v>459502.47714999999</v>
      </c>
    </row>
    <row r="397" spans="1:18" x14ac:dyDescent="0.25">
      <c r="A397" s="115">
        <f t="shared" si="6"/>
        <v>36</v>
      </c>
      <c r="B397" s="121"/>
      <c r="C397" s="113">
        <v>35600</v>
      </c>
      <c r="D397" s="148" t="s">
        <v>141</v>
      </c>
      <c r="F397" s="125">
        <f>VLOOKUP($C397,'ASDR FY1'!$A:$X,F$15,FALSE)*100</f>
        <v>2.9000000000000004</v>
      </c>
      <c r="G397" s="112"/>
      <c r="H397" s="7">
        <f>VLOOKUP($C397,'ASDR FY1'!$A:$X,H$15,FALSE)/1000</f>
        <v>179035.34315999996</v>
      </c>
      <c r="I397" s="8"/>
      <c r="J397" s="7">
        <f>VLOOKUP($C397,'ASDR FY1'!$A:$X,J$15,FALSE)/1000</f>
        <v>9545.1049399999993</v>
      </c>
      <c r="K397" s="9"/>
      <c r="L397" s="7">
        <f>VLOOKUP($C397,'ASDR FY1'!$A:$X,L$15,FALSE)/1000</f>
        <v>-2386.2762200000002</v>
      </c>
      <c r="M397" s="9"/>
      <c r="N397" s="7">
        <f>VLOOKUP($C397,'ASDR FY1'!$A:$X,N$14,FALSE)/1000+VLOOKUP($C397,'ASDR FY1'!$A:$X,N$15,FALSE)/1000</f>
        <v>0</v>
      </c>
      <c r="O397" s="8"/>
      <c r="P397" s="7">
        <f t="shared" si="8"/>
        <v>186194.17187999995</v>
      </c>
      <c r="Q397" s="9"/>
      <c r="R397" s="7">
        <f>VLOOKUP($C397,'ASDR FY1'!$A:$X,R$15,FALSE)/1000</f>
        <v>183169.97902</v>
      </c>
    </row>
    <row r="398" spans="1:18" x14ac:dyDescent="0.25">
      <c r="A398" s="115">
        <f t="shared" si="6"/>
        <v>37</v>
      </c>
      <c r="B398" s="121"/>
      <c r="C398" s="113">
        <v>35601</v>
      </c>
      <c r="D398" s="148" t="s">
        <v>142</v>
      </c>
      <c r="F398" s="125">
        <f>VLOOKUP($C398,'ASDR FY1'!$A:$X,F$15,FALSE)*100</f>
        <v>1.6</v>
      </c>
      <c r="G398" s="112"/>
      <c r="H398" s="7">
        <f>VLOOKUP($C398,'ASDR FY1'!$A:$X,H$15,FALSE)/1000</f>
        <v>2110.61013</v>
      </c>
      <c r="I398" s="8"/>
      <c r="J398" s="7">
        <f>VLOOKUP($C398,'ASDR FY1'!$A:$X,J$15,FALSE)/1000</f>
        <v>0</v>
      </c>
      <c r="K398" s="9"/>
      <c r="L398" s="7">
        <f>VLOOKUP($C398,'ASDR FY1'!$A:$X,L$15,FALSE)/1000</f>
        <v>0</v>
      </c>
      <c r="M398" s="9"/>
      <c r="N398" s="7">
        <f>VLOOKUP($C398,'ASDR FY1'!$A:$X,N$14,FALSE)/1000+VLOOKUP($C398,'ASDR FY1'!$A:$X,N$15,FALSE)/1000</f>
        <v>0</v>
      </c>
      <c r="O398" s="8"/>
      <c r="P398" s="7">
        <f t="shared" si="8"/>
        <v>2110.61013</v>
      </c>
      <c r="Q398" s="9"/>
      <c r="R398" s="7">
        <f>VLOOKUP($C398,'ASDR FY1'!$A:$X,R$15,FALSE)/1000</f>
        <v>2110.61013</v>
      </c>
    </row>
    <row r="399" spans="1:18" x14ac:dyDescent="0.25">
      <c r="A399" s="115">
        <f t="shared" si="6"/>
        <v>38</v>
      </c>
      <c r="B399" s="121"/>
      <c r="C399" s="113">
        <v>35700</v>
      </c>
      <c r="D399" s="148" t="s">
        <v>143</v>
      </c>
      <c r="F399" s="125">
        <f>VLOOKUP($C399,'ASDR FY1'!$A:$X,F$15,FALSE)*100</f>
        <v>1.7000000000000002</v>
      </c>
      <c r="G399" s="112"/>
      <c r="H399" s="7">
        <f>VLOOKUP($C399,'ASDR FY1'!$A:$X,H$15,FALSE)/1000</f>
        <v>4322.8605300000008</v>
      </c>
      <c r="I399" s="8"/>
      <c r="J399" s="7">
        <f>VLOOKUP($C399,'ASDR FY1'!$A:$X,J$15,FALSE)/1000</f>
        <v>0</v>
      </c>
      <c r="K399" s="9"/>
      <c r="L399" s="7">
        <f>VLOOKUP($C399,'ASDR FY1'!$A:$X,L$15,FALSE)/1000</f>
        <v>0</v>
      </c>
      <c r="M399" s="9"/>
      <c r="N399" s="7">
        <f>VLOOKUP($C399,'ASDR FY1'!$A:$X,N$14,FALSE)/1000+VLOOKUP($C399,'ASDR FY1'!$A:$X,N$15,FALSE)/1000</f>
        <v>0</v>
      </c>
      <c r="O399" s="8"/>
      <c r="P399" s="7">
        <f t="shared" si="8"/>
        <v>4322.8605300000008</v>
      </c>
      <c r="Q399" s="9"/>
      <c r="R399" s="7">
        <f>VLOOKUP($C399,'ASDR FY1'!$A:$X,R$15,FALSE)/1000</f>
        <v>4322.8605299999999</v>
      </c>
    </row>
    <row r="400" spans="1:18" x14ac:dyDescent="0.25">
      <c r="A400" s="115">
        <f t="shared" si="6"/>
        <v>39</v>
      </c>
      <c r="B400" s="121"/>
      <c r="C400" s="113">
        <v>35800</v>
      </c>
      <c r="D400" s="148" t="s">
        <v>144</v>
      </c>
      <c r="F400" s="125">
        <f>VLOOKUP($C400,'ASDR FY1'!$A:$X,F$15,FALSE)*100</f>
        <v>2.7</v>
      </c>
      <c r="G400" s="112"/>
      <c r="H400" s="7">
        <f>VLOOKUP($C400,'ASDR FY1'!$A:$X,H$15,FALSE)/1000</f>
        <v>12363.044739999998</v>
      </c>
      <c r="I400" s="8"/>
      <c r="J400" s="7">
        <f>VLOOKUP($C400,'ASDR FY1'!$A:$X,J$15,FALSE)/1000</f>
        <v>0</v>
      </c>
      <c r="K400" s="9"/>
      <c r="L400" s="7">
        <f>VLOOKUP($C400,'ASDR FY1'!$A:$X,L$15,FALSE)/1000</f>
        <v>0</v>
      </c>
      <c r="M400" s="9"/>
      <c r="N400" s="7">
        <f>VLOOKUP($C400,'ASDR FY1'!$A:$X,N$14,FALSE)/1000+VLOOKUP($C400,'ASDR FY1'!$A:$X,N$15,FALSE)/1000</f>
        <v>0</v>
      </c>
      <c r="O400" s="8"/>
      <c r="P400" s="7">
        <f t="shared" si="8"/>
        <v>12363.044739999998</v>
      </c>
      <c r="Q400" s="9"/>
      <c r="R400" s="7">
        <f>VLOOKUP($C400,'ASDR FY1'!$A:$X,R$15,FALSE)/1000</f>
        <v>12363.044739999999</v>
      </c>
    </row>
    <row r="401" spans="1:18" x14ac:dyDescent="0.25">
      <c r="A401" s="115">
        <f t="shared" si="6"/>
        <v>40</v>
      </c>
      <c r="B401" s="121"/>
      <c r="C401" s="113">
        <v>35900</v>
      </c>
      <c r="D401" s="150" t="s">
        <v>145</v>
      </c>
      <c r="E401" s="128"/>
      <c r="F401" s="125">
        <f>VLOOKUP($C401,'ASDR FY1'!$A:$X,F$15,FALSE)*100</f>
        <v>1.6</v>
      </c>
      <c r="G401" s="112"/>
      <c r="H401" s="7">
        <f>VLOOKUP($C401,'ASDR FY1'!$A:$X,H$15,FALSE)/1000</f>
        <v>19224.50677</v>
      </c>
      <c r="I401" s="8"/>
      <c r="J401" s="7">
        <f>VLOOKUP($C401,'ASDR FY1'!$A:$X,J$15,FALSE)/1000</f>
        <v>585.43836999999996</v>
      </c>
      <c r="K401" s="9"/>
      <c r="L401" s="7">
        <f>VLOOKUP($C401,'ASDR FY1'!$A:$X,L$15,FALSE)/1000</f>
        <v>5.8543900000000004</v>
      </c>
      <c r="M401" s="9"/>
      <c r="N401" s="7">
        <f>VLOOKUP($C401,'ASDR FY1'!$A:$X,N$14,FALSE)/1000+VLOOKUP($C401,'ASDR FY1'!$A:$X,N$15,FALSE)/1000</f>
        <v>0</v>
      </c>
      <c r="O401" s="8"/>
      <c r="P401" s="7">
        <f t="shared" si="8"/>
        <v>19815.79953</v>
      </c>
      <c r="Q401" s="9"/>
      <c r="R401" s="7">
        <f>VLOOKUP($C401,'ASDR FY1'!$A:$X,R$15,FALSE)/1000</f>
        <v>19566.45191</v>
      </c>
    </row>
    <row r="402" spans="1:18" ht="13.8" thickBot="1" x14ac:dyDescent="0.3">
      <c r="A402" s="115">
        <f t="shared" si="6"/>
        <v>41</v>
      </c>
      <c r="B402" s="121"/>
      <c r="C402" s="113"/>
      <c r="D402" s="128" t="s">
        <v>146</v>
      </c>
      <c r="E402" s="128"/>
      <c r="F402" s="130"/>
      <c r="G402" s="112"/>
      <c r="H402" s="61">
        <f>SUM(H391:H401)</f>
        <v>1163664.6736000003</v>
      </c>
      <c r="I402" s="14"/>
      <c r="J402" s="61">
        <f>SUM(J391:J401)</f>
        <v>116117.15475000002</v>
      </c>
      <c r="K402" s="14"/>
      <c r="L402" s="61">
        <f>SUM(L391:L401)</f>
        <v>-10073.187089999999</v>
      </c>
      <c r="M402" s="14"/>
      <c r="N402" s="61">
        <f>SUM(N391:N401)</f>
        <v>0</v>
      </c>
      <c r="O402" s="14"/>
      <c r="P402" s="61">
        <f>SUM(P391:P401)</f>
        <v>1269708.6412600002</v>
      </c>
      <c r="Q402" s="14"/>
      <c r="R402" s="61">
        <f>SUM(R391:R401)</f>
        <v>1217383.48358</v>
      </c>
    </row>
    <row r="403" spans="1:18" ht="13.8" thickTop="1" x14ac:dyDescent="0.25">
      <c r="A403" s="115">
        <f t="shared" si="6"/>
        <v>42</v>
      </c>
      <c r="B403" s="121"/>
      <c r="C403" s="115"/>
      <c r="O403" s="112"/>
    </row>
    <row r="404" spans="1:18" x14ac:dyDescent="0.25">
      <c r="A404" s="115">
        <f t="shared" si="6"/>
        <v>43</v>
      </c>
      <c r="B404" s="121"/>
      <c r="O404" s="112"/>
    </row>
    <row r="405" spans="1:18" ht="13.8" thickBot="1" x14ac:dyDescent="0.3">
      <c r="A405" s="116">
        <f t="shared" si="6"/>
        <v>44</v>
      </c>
      <c r="B405" s="19" t="s">
        <v>59</v>
      </c>
      <c r="C405" s="109"/>
      <c r="D405" s="109"/>
      <c r="E405" s="109"/>
      <c r="F405" s="109"/>
      <c r="G405" s="109"/>
      <c r="H405" s="109"/>
      <c r="I405" s="109"/>
      <c r="J405" s="109"/>
      <c r="K405" s="109"/>
      <c r="L405" s="109"/>
      <c r="M405" s="109"/>
      <c r="N405" s="109"/>
      <c r="O405" s="131"/>
      <c r="P405" s="109"/>
      <c r="Q405" s="109"/>
      <c r="R405" s="109"/>
    </row>
    <row r="406" spans="1:18" x14ac:dyDescent="0.25">
      <c r="A406" s="110" t="str">
        <f>$A$58</f>
        <v>Supporting Schedules:  B-08, B-11</v>
      </c>
      <c r="O406" s="112"/>
      <c r="P406" s="110" t="str">
        <f>$P$58</f>
        <v>Recap Schedules:  B-03, B-06</v>
      </c>
    </row>
    <row r="407" spans="1:18" ht="13.8" thickBot="1" x14ac:dyDescent="0.3">
      <c r="A407" s="109" t="str">
        <f>$A$1</f>
        <v>SCHEDULE B-07</v>
      </c>
      <c r="B407" s="109"/>
      <c r="C407" s="109"/>
      <c r="D407" s="109"/>
      <c r="E407" s="109"/>
      <c r="F407" s="109"/>
      <c r="G407" s="109" t="str">
        <f>$G$1</f>
        <v>PLANT BALANCES BY ACCOUNT AND SUB-ACCOUNT</v>
      </c>
      <c r="H407" s="109"/>
      <c r="I407" s="109"/>
      <c r="J407" s="109"/>
      <c r="K407" s="109"/>
      <c r="L407" s="109"/>
      <c r="M407" s="109"/>
      <c r="N407" s="109"/>
      <c r="O407" s="131"/>
      <c r="P407" s="109"/>
      <c r="Q407" s="109"/>
      <c r="R407" s="109" t="str">
        <f>"Page 18 of " &amp; $P$1</f>
        <v>Page 18 of 30</v>
      </c>
    </row>
    <row r="408" spans="1:18" x14ac:dyDescent="0.25">
      <c r="A408" s="110" t="str">
        <f>$A$2</f>
        <v>FLORIDA PUBLIC SERVICE COMMISSION</v>
      </c>
      <c r="B408" s="132"/>
      <c r="E408" s="112" t="str">
        <f>$E$2</f>
        <v xml:space="preserve">                  EXPLANATION:</v>
      </c>
      <c r="F408" s="110" t="str">
        <f>IF($F$2="","",$F$2)</f>
        <v>Provide the depreciation rate and plant balances for each account or sub-account to which</v>
      </c>
      <c r="J408" s="133"/>
      <c r="K408" s="133"/>
      <c r="M408" s="133"/>
      <c r="N408" s="133"/>
      <c r="O408" s="134"/>
      <c r="P408" s="110" t="str">
        <f>$P$2</f>
        <v>Type of data shown:</v>
      </c>
      <c r="R408" s="111"/>
    </row>
    <row r="409" spans="1:18" x14ac:dyDescent="0.25">
      <c r="B409" s="132"/>
      <c r="F409" s="110" t="str">
        <f>IF($F$3="","",$F$3)</f>
        <v>a separate depreciation rate is prescribed. (Include Amortization/Recovery schedule amounts).</v>
      </c>
      <c r="J409" s="112"/>
      <c r="K409" s="111"/>
      <c r="N409" s="112"/>
      <c r="O409" s="112" t="str">
        <f>IF($O$3=0,"",$O$3)</f>
        <v/>
      </c>
      <c r="P409" s="111" t="str">
        <f>$P$3</f>
        <v>Projected Test Year Ended 12/31/2025</v>
      </c>
      <c r="R409" s="112"/>
    </row>
    <row r="410" spans="1:18" x14ac:dyDescent="0.25">
      <c r="A410" s="110" t="str">
        <f>$A$4</f>
        <v>COMPANY: TAMPA ELECTRIC COMPANY</v>
      </c>
      <c r="B410" s="132"/>
      <c r="F410" s="110" t="str">
        <f>IF(+$F$4="","",$F$4)</f>
        <v/>
      </c>
      <c r="J410" s="112"/>
      <c r="K410" s="111"/>
      <c r="L410" s="112"/>
      <c r="O410" s="112" t="str">
        <f>IF($O$4=0,"",$O$4)</f>
        <v>XX</v>
      </c>
      <c r="P410" s="111" t="str">
        <f>$P$4</f>
        <v>Projected Prior Year Ended 12/31/2024</v>
      </c>
      <c r="R410" s="112"/>
    </row>
    <row r="411" spans="1:18" x14ac:dyDescent="0.25">
      <c r="B411" s="132"/>
      <c r="F411" s="110" t="str">
        <f>IF(+$F$5="","",$F$5)</f>
        <v/>
      </c>
      <c r="J411" s="112"/>
      <c r="K411" s="111"/>
      <c r="L411" s="112"/>
      <c r="O411" s="112" t="str">
        <f>IF($O$5=0,"",$O$5)</f>
        <v/>
      </c>
      <c r="P411" s="111" t="str">
        <f>$P$5</f>
        <v>Historical Prior Year Ended 12/31/2023</v>
      </c>
      <c r="R411" s="112"/>
    </row>
    <row r="412" spans="1:18" x14ac:dyDescent="0.25">
      <c r="J412" s="112"/>
      <c r="K412" s="111"/>
      <c r="L412" s="112"/>
      <c r="O412" s="112"/>
      <c r="P412" s="160" t="s">
        <v>573</v>
      </c>
      <c r="R412" s="112"/>
    </row>
    <row r="413" spans="1:18" x14ac:dyDescent="0.25">
      <c r="J413" s="112"/>
      <c r="K413" s="111"/>
      <c r="L413" s="112"/>
      <c r="O413" s="112"/>
      <c r="P413" s="160" t="s">
        <v>574</v>
      </c>
      <c r="R413" s="112"/>
    </row>
    <row r="414" spans="1:18" ht="13.8" thickBot="1" x14ac:dyDescent="0.3">
      <c r="A414" s="157" t="s">
        <v>572</v>
      </c>
      <c r="B414" s="109"/>
      <c r="C414" s="109"/>
      <c r="D414" s="109"/>
      <c r="E414" s="109"/>
      <c r="F414" s="109"/>
      <c r="G414" s="109"/>
      <c r="H414" s="116" t="s">
        <v>12</v>
      </c>
      <c r="I414" s="109"/>
      <c r="J414" s="109"/>
      <c r="K414" s="109"/>
      <c r="L414" s="109"/>
      <c r="M414" s="109"/>
      <c r="N414" s="109"/>
      <c r="O414" s="131"/>
      <c r="P414" s="161" t="s">
        <v>575</v>
      </c>
      <c r="Q414" s="109"/>
      <c r="R414" s="109"/>
    </row>
    <row r="415" spans="1:18" x14ac:dyDescent="0.25">
      <c r="C415" s="113"/>
      <c r="D415" s="113"/>
      <c r="E415" s="113"/>
      <c r="F415" s="113"/>
      <c r="G415" s="113"/>
      <c r="H415" s="113"/>
      <c r="I415" s="113"/>
      <c r="J415" s="113"/>
      <c r="K415" s="113"/>
      <c r="L415" s="113"/>
      <c r="M415" s="113"/>
      <c r="N415" s="113"/>
      <c r="O415" s="114"/>
      <c r="P415" s="113"/>
      <c r="Q415" s="113"/>
      <c r="R415" s="113"/>
    </row>
    <row r="416" spans="1:18" x14ac:dyDescent="0.25">
      <c r="C416" s="113" t="s">
        <v>13</v>
      </c>
      <c r="D416" s="113" t="s">
        <v>14</v>
      </c>
      <c r="E416" s="113"/>
      <c r="F416" s="113" t="s">
        <v>15</v>
      </c>
      <c r="G416" s="113"/>
      <c r="H416" s="113" t="s">
        <v>16</v>
      </c>
      <c r="I416" s="113"/>
      <c r="J416" s="115" t="s">
        <v>17</v>
      </c>
      <c r="K416" s="115"/>
      <c r="L416" s="113" t="s">
        <v>18</v>
      </c>
      <c r="M416" s="113"/>
      <c r="N416" s="113" t="s">
        <v>19</v>
      </c>
      <c r="O416" s="114"/>
      <c r="P416" s="113" t="s">
        <v>20</v>
      </c>
      <c r="Q416" s="113"/>
      <c r="R416" s="113" t="s">
        <v>21</v>
      </c>
    </row>
    <row r="417" spans="1:18" x14ac:dyDescent="0.25">
      <c r="C417" s="115" t="s">
        <v>22</v>
      </c>
      <c r="D417" s="115" t="s">
        <v>22</v>
      </c>
      <c r="F417" s="115" t="s">
        <v>23</v>
      </c>
      <c r="G417" s="115"/>
      <c r="H417" s="113" t="s">
        <v>24</v>
      </c>
      <c r="I417" s="115"/>
      <c r="J417" s="113" t="s">
        <v>25</v>
      </c>
      <c r="K417" s="115"/>
      <c r="L417" s="115" t="s">
        <v>25</v>
      </c>
      <c r="M417" s="115"/>
      <c r="O417" s="112"/>
      <c r="P417" s="115" t="s">
        <v>24</v>
      </c>
      <c r="R417" s="115"/>
    </row>
    <row r="418" spans="1:18" x14ac:dyDescent="0.25">
      <c r="A418" s="115" t="s">
        <v>26</v>
      </c>
      <c r="B418" s="115"/>
      <c r="C418" s="115" t="s">
        <v>27</v>
      </c>
      <c r="D418" s="115" t="s">
        <v>27</v>
      </c>
      <c r="E418" s="113"/>
      <c r="F418" s="115" t="s">
        <v>28</v>
      </c>
      <c r="G418" s="115"/>
      <c r="H418" s="115" t="s">
        <v>29</v>
      </c>
      <c r="I418" s="115"/>
      <c r="J418" s="115" t="s">
        <v>24</v>
      </c>
      <c r="K418" s="113"/>
      <c r="L418" s="115" t="s">
        <v>24</v>
      </c>
      <c r="M418" s="111"/>
      <c r="N418" s="115" t="s">
        <v>30</v>
      </c>
      <c r="O418" s="114"/>
      <c r="P418" s="113" t="s">
        <v>29</v>
      </c>
      <c r="Q418" s="113"/>
      <c r="R418" s="115" t="s">
        <v>31</v>
      </c>
    </row>
    <row r="419" spans="1:18" ht="13.8" thickBot="1" x14ac:dyDescent="0.3">
      <c r="A419" s="116" t="s">
        <v>32</v>
      </c>
      <c r="B419" s="116"/>
      <c r="C419" s="116" t="s">
        <v>33</v>
      </c>
      <c r="D419" s="116" t="s">
        <v>34</v>
      </c>
      <c r="E419" s="116"/>
      <c r="F419" s="117" t="s">
        <v>35</v>
      </c>
      <c r="G419" s="117"/>
      <c r="H419" s="117" t="s">
        <v>36</v>
      </c>
      <c r="I419" s="118"/>
      <c r="J419" s="117" t="s">
        <v>37</v>
      </c>
      <c r="K419" s="118"/>
      <c r="L419" s="118" t="s">
        <v>38</v>
      </c>
      <c r="M419" s="119"/>
      <c r="N419" s="119" t="s">
        <v>39</v>
      </c>
      <c r="O419" s="120"/>
      <c r="P419" s="119" t="s">
        <v>40</v>
      </c>
      <c r="Q419" s="119"/>
      <c r="R419" s="119" t="s">
        <v>41</v>
      </c>
    </row>
    <row r="420" spans="1:18" x14ac:dyDescent="0.25">
      <c r="A420" s="115">
        <v>1</v>
      </c>
      <c r="B420" s="115"/>
      <c r="O420" s="112"/>
    </row>
    <row r="421" spans="1:18" x14ac:dyDescent="0.25">
      <c r="A421" s="115">
        <f>A420+1</f>
        <v>2</v>
      </c>
      <c r="B421" s="121"/>
      <c r="C421" s="125"/>
      <c r="D421" s="110" t="s">
        <v>147</v>
      </c>
      <c r="F421" s="130"/>
      <c r="H421" s="151"/>
      <c r="I421" s="151"/>
      <c r="J421" s="151"/>
      <c r="K421" s="151"/>
      <c r="L421" s="151"/>
      <c r="M421" s="151"/>
      <c r="N421" s="151"/>
      <c r="O421" s="152"/>
      <c r="P421" s="151"/>
      <c r="Q421" s="151"/>
      <c r="R421" s="26"/>
    </row>
    <row r="422" spans="1:18" x14ac:dyDescent="0.25">
      <c r="A422" s="115">
        <f t="shared" ref="A422:A463" si="9">A421+1</f>
        <v>3</v>
      </c>
      <c r="B422" s="121"/>
      <c r="C422" s="115">
        <v>36001</v>
      </c>
      <c r="D422" s="150" t="s">
        <v>135</v>
      </c>
      <c r="E422" s="128"/>
      <c r="F422" s="125"/>
      <c r="G422" s="112"/>
      <c r="H422" s="7"/>
      <c r="I422" s="14"/>
      <c r="J422" s="7"/>
      <c r="K422" s="14"/>
      <c r="L422" s="7"/>
      <c r="M422" s="14"/>
      <c r="N422" s="7"/>
      <c r="O422" s="14"/>
      <c r="P422" s="7"/>
      <c r="Q422" s="14"/>
      <c r="R422" s="7"/>
    </row>
    <row r="423" spans="1:18" x14ac:dyDescent="0.25">
      <c r="A423" s="115">
        <f t="shared" si="9"/>
        <v>4</v>
      </c>
      <c r="B423" s="121"/>
      <c r="C423" s="115">
        <v>36100</v>
      </c>
      <c r="D423" s="148" t="s">
        <v>137</v>
      </c>
      <c r="F423" s="125">
        <f>VLOOKUP($C423,'ASDR FY1'!$A:$X,F$15,FALSE)*100</f>
        <v>1.7999999999999998</v>
      </c>
      <c r="G423" s="112"/>
      <c r="H423" s="7">
        <f>VLOOKUP($C423,'ASDR FY1'!$A:$X,H$15,FALSE)/1000</f>
        <v>34138.496829999982</v>
      </c>
      <c r="I423" s="8"/>
      <c r="J423" s="7">
        <f>VLOOKUP($C423,'ASDR FY1'!$A:$X,J$15,FALSE)/1000</f>
        <v>0</v>
      </c>
      <c r="K423" s="9"/>
      <c r="L423" s="7">
        <f>VLOOKUP($C423,'ASDR FY1'!$A:$X,L$15,FALSE)/1000</f>
        <v>0</v>
      </c>
      <c r="M423" s="9"/>
      <c r="N423" s="7">
        <f>VLOOKUP($C423,'ASDR FY1'!$A:$X,N$14,FALSE)/1000+VLOOKUP($C423,'ASDR FY1'!$A:$X,N$15,FALSE)/1000</f>
        <v>0</v>
      </c>
      <c r="O423" s="8"/>
      <c r="P423" s="7">
        <f t="shared" ref="P423:P437" si="10">SUM(H423,J423,L423,N423)</f>
        <v>34138.496829999982</v>
      </c>
      <c r="Q423" s="9"/>
      <c r="R423" s="7">
        <f>VLOOKUP($C423,'ASDR FY1'!$A:$X,R$15,FALSE)/1000</f>
        <v>34138.496829999996</v>
      </c>
    </row>
    <row r="424" spans="1:18" x14ac:dyDescent="0.25">
      <c r="A424" s="115">
        <f t="shared" si="9"/>
        <v>5</v>
      </c>
      <c r="B424" s="121"/>
      <c r="C424" s="115">
        <v>36200</v>
      </c>
      <c r="D424" s="148" t="s">
        <v>138</v>
      </c>
      <c r="F424" s="125">
        <f>VLOOKUP($C424,'ASDR FY1'!$A:$X,F$15,FALSE)*100</f>
        <v>2.5</v>
      </c>
      <c r="G424" s="112"/>
      <c r="H424" s="7">
        <f>VLOOKUP($C424,'ASDR FY1'!$A:$X,H$15,FALSE)/1000</f>
        <v>309168.66692000016</v>
      </c>
      <c r="I424" s="8"/>
      <c r="J424" s="7">
        <f>VLOOKUP($C424,'ASDR FY1'!$A:$X,J$15,FALSE)/1000</f>
        <v>16789.19472</v>
      </c>
      <c r="K424" s="9"/>
      <c r="L424" s="7">
        <f>VLOOKUP($C424,'ASDR FY1'!$A:$X,L$15,FALSE)/1000</f>
        <v>-1511.0275200000001</v>
      </c>
      <c r="M424" s="9"/>
      <c r="N424" s="7">
        <f>VLOOKUP($C424,'ASDR FY1'!$A:$X,N$14,FALSE)/1000+VLOOKUP($C424,'ASDR FY1'!$A:$X,N$15,FALSE)/1000</f>
        <v>0</v>
      </c>
      <c r="O424" s="8"/>
      <c r="P424" s="7">
        <f t="shared" si="10"/>
        <v>324446.83412000013</v>
      </c>
      <c r="Q424" s="9"/>
      <c r="R424" s="7">
        <f>VLOOKUP($C424,'ASDR FY1'!$A:$X,R$15,FALSE)/1000</f>
        <v>317271.11933999998</v>
      </c>
    </row>
    <row r="425" spans="1:18" x14ac:dyDescent="0.25">
      <c r="A425" s="115">
        <f t="shared" si="9"/>
        <v>6</v>
      </c>
      <c r="B425" s="121"/>
      <c r="C425" s="115">
        <v>36300</v>
      </c>
      <c r="D425" s="110" t="s">
        <v>136</v>
      </c>
      <c r="F425" s="125">
        <f>VLOOKUP($C425,'ASDR FY1'!$A:$X,F$15,FALSE)*100</f>
        <v>10</v>
      </c>
      <c r="G425" s="112"/>
      <c r="H425" s="7">
        <f>VLOOKUP($C425,'ASDR FY1'!$A:$X,H$15,FALSE)/1000</f>
        <v>0</v>
      </c>
      <c r="I425" s="8"/>
      <c r="J425" s="7">
        <f>VLOOKUP($C425,'ASDR FY1'!$A:$X,J$15,FALSE)/1000</f>
        <v>0</v>
      </c>
      <c r="K425" s="9"/>
      <c r="L425" s="7">
        <f>VLOOKUP($C425,'ASDR FY1'!$A:$X,L$15,FALSE)/1000</f>
        <v>0</v>
      </c>
      <c r="M425" s="9"/>
      <c r="N425" s="7">
        <f>VLOOKUP($C425,'ASDR FY1'!$A:$X,N$14,FALSE)/1000+VLOOKUP($C425,'ASDR FY1'!$A:$X,N$15,FALSE)/1000</f>
        <v>0</v>
      </c>
      <c r="O425" s="8"/>
      <c r="P425" s="7">
        <f t="shared" si="10"/>
        <v>0</v>
      </c>
      <c r="Q425" s="9"/>
      <c r="R425" s="7">
        <f>VLOOKUP($C425,'ASDR FY1'!$A:$X,R$15,FALSE)/1000</f>
        <v>0</v>
      </c>
    </row>
    <row r="426" spans="1:18" x14ac:dyDescent="0.25">
      <c r="A426" s="115">
        <f t="shared" si="9"/>
        <v>7</v>
      </c>
      <c r="B426" s="115"/>
      <c r="C426" s="115">
        <v>36400</v>
      </c>
      <c r="D426" s="148" t="s">
        <v>148</v>
      </c>
      <c r="F426" s="125">
        <f>VLOOKUP($C426,'ASDR FY1'!$A:$X,F$15,FALSE)*100</f>
        <v>3.6999999999999997</v>
      </c>
      <c r="G426" s="112"/>
      <c r="H426" s="7">
        <f>VLOOKUP($C426,'ASDR FY1'!$A:$X,H$15,FALSE)/1000</f>
        <v>398384.07977000024</v>
      </c>
      <c r="I426" s="8"/>
      <c r="J426" s="7">
        <f>VLOOKUP($C426,'ASDR FY1'!$A:$X,J$15,FALSE)/1000</f>
        <v>76815.517160000003</v>
      </c>
      <c r="K426" s="9"/>
      <c r="L426" s="7">
        <f>VLOOKUP($C426,'ASDR FY1'!$A:$X,L$15,FALSE)/1000</f>
        <v>-11522.327579999999</v>
      </c>
      <c r="M426" s="9"/>
      <c r="N426" s="7">
        <f>VLOOKUP($C426,'ASDR FY1'!$A:$X,N$14,FALSE)/1000+VLOOKUP($C426,'ASDR FY1'!$A:$X,N$15,FALSE)/1000</f>
        <v>0</v>
      </c>
      <c r="O426" s="8"/>
      <c r="P426" s="7">
        <f t="shared" si="10"/>
        <v>463677.26935000025</v>
      </c>
      <c r="Q426" s="9"/>
      <c r="R426" s="7">
        <f>VLOOKUP($C426,'ASDR FY1'!$A:$X,R$15,FALSE)/1000</f>
        <v>436491.27816000005</v>
      </c>
    </row>
    <row r="427" spans="1:18" x14ac:dyDescent="0.25">
      <c r="A427" s="115">
        <f t="shared" si="9"/>
        <v>8</v>
      </c>
      <c r="B427" s="115"/>
      <c r="C427" s="115">
        <v>36500</v>
      </c>
      <c r="D427" s="148" t="s">
        <v>141</v>
      </c>
      <c r="F427" s="125">
        <f>VLOOKUP($C427,'ASDR FY1'!$A:$X,F$15,FALSE)*100</f>
        <v>2.1999999999999997</v>
      </c>
      <c r="G427" s="112"/>
      <c r="H427" s="7">
        <f>VLOOKUP($C427,'ASDR FY1'!$A:$X,H$15,FALSE)/1000</f>
        <v>287448.83973000001</v>
      </c>
      <c r="I427" s="8"/>
      <c r="J427" s="7">
        <f>VLOOKUP($C427,'ASDR FY1'!$A:$X,J$15,FALSE)/1000</f>
        <v>11117.674289999999</v>
      </c>
      <c r="K427" s="9"/>
      <c r="L427" s="7">
        <f>VLOOKUP($C427,'ASDR FY1'!$A:$X,L$15,FALSE)/1000</f>
        <v>-3557.6557599999996</v>
      </c>
      <c r="M427" s="9"/>
      <c r="N427" s="7">
        <f>VLOOKUP($C427,'ASDR FY1'!$A:$X,N$14,FALSE)/1000+VLOOKUP($C427,'ASDR FY1'!$A:$X,N$15,FALSE)/1000</f>
        <v>0</v>
      </c>
      <c r="O427" s="8"/>
      <c r="P427" s="7">
        <f t="shared" si="10"/>
        <v>295008.85826000001</v>
      </c>
      <c r="Q427" s="9"/>
      <c r="R427" s="7">
        <f>VLOOKUP($C427,'ASDR FY1'!$A:$X,R$15,FALSE)/1000</f>
        <v>291401.76081999997</v>
      </c>
    </row>
    <row r="428" spans="1:18" x14ac:dyDescent="0.25">
      <c r="A428" s="115">
        <f t="shared" si="9"/>
        <v>9</v>
      </c>
      <c r="B428" s="115"/>
      <c r="C428" s="115">
        <v>36600</v>
      </c>
      <c r="D428" s="148" t="s">
        <v>143</v>
      </c>
      <c r="F428" s="125">
        <f>VLOOKUP($C428,'ASDR FY1'!$A:$X,F$15,FALSE)*100</f>
        <v>1.7000000000000002</v>
      </c>
      <c r="G428" s="112"/>
      <c r="H428" s="7">
        <f>VLOOKUP($C428,'ASDR FY1'!$A:$X,H$15,FALSE)/1000</f>
        <v>426864.39914000011</v>
      </c>
      <c r="I428" s="8"/>
      <c r="J428" s="7">
        <f>VLOOKUP($C428,'ASDR FY1'!$A:$X,J$15,FALSE)/1000</f>
        <v>26840.803190000002</v>
      </c>
      <c r="K428" s="9"/>
      <c r="L428" s="7">
        <f>VLOOKUP($C428,'ASDR FY1'!$A:$X,L$15,FALSE)/1000</f>
        <v>-268.40803999999997</v>
      </c>
      <c r="M428" s="9"/>
      <c r="N428" s="7">
        <f>VLOOKUP($C428,'ASDR FY1'!$A:$X,N$14,FALSE)/1000+VLOOKUP($C428,'ASDR FY1'!$A:$X,N$15,FALSE)/1000</f>
        <v>0</v>
      </c>
      <c r="O428" s="8"/>
      <c r="P428" s="7">
        <f t="shared" si="10"/>
        <v>453436.79429000011</v>
      </c>
      <c r="Q428" s="9"/>
      <c r="R428" s="7">
        <f>VLOOKUP($C428,'ASDR FY1'!$A:$X,R$15,FALSE)/1000</f>
        <v>440852.05301999999</v>
      </c>
    </row>
    <row r="429" spans="1:18" x14ac:dyDescent="0.25">
      <c r="A429" s="115">
        <f t="shared" si="9"/>
        <v>10</v>
      </c>
      <c r="B429" s="121"/>
      <c r="C429" s="115">
        <v>36700</v>
      </c>
      <c r="D429" s="148" t="s">
        <v>144</v>
      </c>
      <c r="F429" s="125">
        <f>VLOOKUP($C429,'ASDR FY1'!$A:$X,F$15,FALSE)*100</f>
        <v>2.2999999999999998</v>
      </c>
      <c r="G429" s="112"/>
      <c r="H429" s="7">
        <f>VLOOKUP($C429,'ASDR FY1'!$A:$X,H$15,FALSE)/1000</f>
        <v>438222.91100000008</v>
      </c>
      <c r="I429" s="8"/>
      <c r="J429" s="7">
        <f>VLOOKUP($C429,'ASDR FY1'!$A:$X,J$15,FALSE)/1000</f>
        <v>302596.33598999999</v>
      </c>
      <c r="K429" s="9"/>
      <c r="L429" s="7">
        <f>VLOOKUP($C429,'ASDR FY1'!$A:$X,L$15,FALSE)/1000</f>
        <v>-30259.633600000001</v>
      </c>
      <c r="M429" s="9"/>
      <c r="N429" s="7">
        <f>VLOOKUP($C429,'ASDR FY1'!$A:$X,N$14,FALSE)/1000+VLOOKUP($C429,'ASDR FY1'!$A:$X,N$15,FALSE)/1000</f>
        <v>0</v>
      </c>
      <c r="O429" s="8"/>
      <c r="P429" s="7">
        <f t="shared" si="10"/>
        <v>710559.61339000007</v>
      </c>
      <c r="Q429" s="9"/>
      <c r="R429" s="7">
        <f>VLOOKUP($C429,'ASDR FY1'!$A:$X,R$15,FALSE)/1000</f>
        <v>589919.25482000003</v>
      </c>
    </row>
    <row r="430" spans="1:18" x14ac:dyDescent="0.25">
      <c r="A430" s="115">
        <f t="shared" si="9"/>
        <v>11</v>
      </c>
      <c r="B430" s="121"/>
      <c r="C430" s="115">
        <v>36800</v>
      </c>
      <c r="D430" s="148" t="s">
        <v>149</v>
      </c>
      <c r="F430" s="125">
        <f>VLOOKUP($C430,'ASDR FY1'!$A:$X,F$15,FALSE)*100</f>
        <v>4.5</v>
      </c>
      <c r="G430" s="112"/>
      <c r="H430" s="7">
        <f>VLOOKUP($C430,'ASDR FY1'!$A:$X,H$15,FALSE)/1000</f>
        <v>943725.78440999961</v>
      </c>
      <c r="I430" s="8"/>
      <c r="J430" s="7">
        <f>VLOOKUP($C430,'ASDR FY1'!$A:$X,J$15,FALSE)/1000</f>
        <v>78457.732409999997</v>
      </c>
      <c r="K430" s="9"/>
      <c r="L430" s="7">
        <f>VLOOKUP($C430,'ASDR FY1'!$A:$X,L$15,FALSE)/1000</f>
        <v>-9414.9278800000011</v>
      </c>
      <c r="M430" s="9"/>
      <c r="N430" s="7">
        <f>VLOOKUP($C430,'ASDR FY1'!$A:$X,N$14,FALSE)/1000+VLOOKUP($C430,'ASDR FY1'!$A:$X,N$15,FALSE)/1000</f>
        <v>0</v>
      </c>
      <c r="O430" s="8"/>
      <c r="P430" s="7">
        <f t="shared" si="10"/>
        <v>1012768.5889399996</v>
      </c>
      <c r="Q430" s="9"/>
      <c r="R430" s="7">
        <f>VLOOKUP($C430,'ASDR FY1'!$A:$X,R$15,FALSE)/1000</f>
        <v>980069.77400999994</v>
      </c>
    </row>
    <row r="431" spans="1:18" x14ac:dyDescent="0.25">
      <c r="A431" s="115">
        <f t="shared" si="9"/>
        <v>12</v>
      </c>
      <c r="B431" s="121"/>
      <c r="C431" s="115">
        <v>36900</v>
      </c>
      <c r="D431" s="148" t="s">
        <v>150</v>
      </c>
      <c r="F431" s="125">
        <f>VLOOKUP($C431,'ASDR FY1'!$A:$X,F$15,FALSE)*100</f>
        <v>1.9</v>
      </c>
      <c r="G431" s="112"/>
      <c r="H431" s="7">
        <f>VLOOKUP($C431,'ASDR FY1'!$A:$X,H$15,FALSE)/1000</f>
        <v>82658.993710000039</v>
      </c>
      <c r="I431" s="8"/>
      <c r="J431" s="7">
        <f>VLOOKUP($C431,'ASDR FY1'!$A:$X,J$15,FALSE)/1000</f>
        <v>2064.6771699999999</v>
      </c>
      <c r="K431" s="9"/>
      <c r="L431" s="7">
        <f>VLOOKUP($C431,'ASDR FY1'!$A:$X,L$15,FALSE)/1000</f>
        <v>-206.46770999999998</v>
      </c>
      <c r="M431" s="9"/>
      <c r="N431" s="7">
        <f>VLOOKUP($C431,'ASDR FY1'!$A:$X,N$14,FALSE)/1000+VLOOKUP($C431,'ASDR FY1'!$A:$X,N$15,FALSE)/1000</f>
        <v>0</v>
      </c>
      <c r="O431" s="8"/>
      <c r="P431" s="7">
        <f t="shared" si="10"/>
        <v>84517.203170000037</v>
      </c>
      <c r="Q431" s="9"/>
      <c r="R431" s="7">
        <f>VLOOKUP($C431,'ASDR FY1'!$A:$X,R$15,FALSE)/1000</f>
        <v>83637.151329999993</v>
      </c>
    </row>
    <row r="432" spans="1:18" x14ac:dyDescent="0.25">
      <c r="A432" s="115">
        <f t="shared" si="9"/>
        <v>13</v>
      </c>
      <c r="B432" s="121"/>
      <c r="C432" s="115">
        <v>36902</v>
      </c>
      <c r="D432" s="148" t="s">
        <v>151</v>
      </c>
      <c r="F432" s="125">
        <f>VLOOKUP($C432,'ASDR FY1'!$A:$X,F$15,FALSE)*100</f>
        <v>2.2999999999999998</v>
      </c>
      <c r="G432" s="112"/>
      <c r="H432" s="7">
        <f>VLOOKUP($C432,'ASDR FY1'!$A:$X,H$15,FALSE)/1000</f>
        <v>148445.05032000001</v>
      </c>
      <c r="I432" s="8"/>
      <c r="J432" s="7">
        <f>VLOOKUP($C432,'ASDR FY1'!$A:$X,J$15,FALSE)/1000</f>
        <v>4129.3543399999999</v>
      </c>
      <c r="K432" s="9"/>
      <c r="L432" s="7">
        <f>VLOOKUP($C432,'ASDR FY1'!$A:$X,L$15,FALSE)/1000</f>
        <v>-123.88063000000001</v>
      </c>
      <c r="M432" s="9"/>
      <c r="N432" s="7">
        <f>VLOOKUP($C432,'ASDR FY1'!$A:$X,N$14,FALSE)/1000+VLOOKUP($C432,'ASDR FY1'!$A:$X,N$15,FALSE)/1000</f>
        <v>0</v>
      </c>
      <c r="O432" s="8"/>
      <c r="P432" s="7">
        <f t="shared" si="10"/>
        <v>152450.52403</v>
      </c>
      <c r="Q432" s="9"/>
      <c r="R432" s="7">
        <f>VLOOKUP($C432,'ASDR FY1'!$A:$X,R$15,FALSE)/1000</f>
        <v>150553.52340000001</v>
      </c>
    </row>
    <row r="433" spans="1:18" x14ac:dyDescent="0.25">
      <c r="A433" s="115">
        <f t="shared" si="9"/>
        <v>14</v>
      </c>
      <c r="B433" s="121"/>
      <c r="C433" s="115">
        <v>37000</v>
      </c>
      <c r="D433" s="148" t="s">
        <v>152</v>
      </c>
      <c r="F433" s="125">
        <f>VLOOKUP($C433,'ASDR FY1'!$A:$X,F$15,FALSE)*100</f>
        <v>7.9</v>
      </c>
      <c r="G433" s="112"/>
      <c r="H433" s="7">
        <f>VLOOKUP($C433,'ASDR FY1'!$A:$X,H$15,FALSE)/1000</f>
        <v>18799.459209999972</v>
      </c>
      <c r="I433" s="8"/>
      <c r="J433" s="7">
        <f>VLOOKUP($C433,'ASDR FY1'!$A:$X,J$15,FALSE)/1000</f>
        <v>0</v>
      </c>
      <c r="K433" s="9"/>
      <c r="L433" s="7">
        <f>VLOOKUP($C433,'ASDR FY1'!$A:$X,L$15,FALSE)/1000</f>
        <v>0</v>
      </c>
      <c r="M433" s="9"/>
      <c r="N433" s="7">
        <f>VLOOKUP($C433,'ASDR FY1'!$A:$X,N$14,FALSE)/1000+VLOOKUP($C433,'ASDR FY1'!$A:$X,N$15,FALSE)/1000</f>
        <v>0</v>
      </c>
      <c r="O433" s="8"/>
      <c r="P433" s="7">
        <f t="shared" si="10"/>
        <v>18799.459209999972</v>
      </c>
      <c r="Q433" s="9"/>
      <c r="R433" s="7">
        <f>VLOOKUP($C433,'ASDR FY1'!$A:$X,R$15,FALSE)/1000</f>
        <v>18799.459210000001</v>
      </c>
    </row>
    <row r="434" spans="1:18" x14ac:dyDescent="0.25">
      <c r="A434" s="115">
        <f t="shared" si="9"/>
        <v>15</v>
      </c>
      <c r="B434" s="115"/>
      <c r="C434" s="115">
        <v>37001</v>
      </c>
      <c r="D434" s="148" t="s">
        <v>153</v>
      </c>
      <c r="F434" s="125">
        <f>VLOOKUP($C434,'ASDR FY1'!$A:$X,F$15,FALSE)*100</f>
        <v>8.6999999999999993</v>
      </c>
      <c r="G434" s="112"/>
      <c r="H434" s="7">
        <f>VLOOKUP($C434,'ASDR FY1'!$A:$X,H$15,FALSE)/1000</f>
        <v>112994.20474999998</v>
      </c>
      <c r="I434" s="8"/>
      <c r="J434" s="7">
        <f>VLOOKUP($C434,'ASDR FY1'!$A:$X,J$15,FALSE)/1000</f>
        <v>16067.09009</v>
      </c>
      <c r="K434" s="9"/>
      <c r="L434" s="7">
        <f>VLOOKUP($C434,'ASDR FY1'!$A:$X,L$15,FALSE)/1000</f>
        <v>-8033.5450499999997</v>
      </c>
      <c r="M434" s="9"/>
      <c r="N434" s="7">
        <f>VLOOKUP($C434,'ASDR FY1'!$A:$X,N$14,FALSE)/1000+VLOOKUP($C434,'ASDR FY1'!$A:$X,N$15,FALSE)/1000</f>
        <v>0</v>
      </c>
      <c r="O434" s="8"/>
      <c r="P434" s="7">
        <f t="shared" si="10"/>
        <v>121027.74978999997</v>
      </c>
      <c r="Q434" s="9"/>
      <c r="R434" s="7">
        <f>VLOOKUP($C434,'ASDR FY1'!$A:$X,R$15,FALSE)/1000</f>
        <v>117174.4869</v>
      </c>
    </row>
    <row r="435" spans="1:18" x14ac:dyDescent="0.25">
      <c r="A435" s="115">
        <f t="shared" si="9"/>
        <v>16</v>
      </c>
      <c r="B435" s="115"/>
      <c r="C435" s="115">
        <v>37010</v>
      </c>
      <c r="D435" s="148" t="s">
        <v>154</v>
      </c>
      <c r="F435" s="125">
        <f>VLOOKUP($C435,'ASDR FY1'!$A:$X,F$15,FALSE)*100</f>
        <v>10</v>
      </c>
      <c r="G435" s="112"/>
      <c r="H435" s="7">
        <f>VLOOKUP($C435,'ASDR FY1'!$A:$X,H$15,FALSE)/1000</f>
        <v>1850.1163799999999</v>
      </c>
      <c r="I435" s="8"/>
      <c r="J435" s="7">
        <f>VLOOKUP($C435,'ASDR FY1'!$A:$X,J$15,FALSE)/1000</f>
        <v>3109.66894</v>
      </c>
      <c r="K435" s="9"/>
      <c r="L435" s="7">
        <f>VLOOKUP($C435,'ASDR FY1'!$A:$X,L$15,FALSE)/1000</f>
        <v>0</v>
      </c>
      <c r="M435" s="9"/>
      <c r="N435" s="7">
        <f>VLOOKUP($C435,'ASDR FY1'!$A:$X,N$14,FALSE)/1000+VLOOKUP($C435,'ASDR FY1'!$A:$X,N$15,FALSE)/1000</f>
        <v>0</v>
      </c>
      <c r="O435" s="8"/>
      <c r="P435" s="7">
        <f>SUM(H435,J435,L435,N435)</f>
        <v>4959.78532</v>
      </c>
      <c r="Q435" s="9"/>
      <c r="R435" s="7">
        <f>VLOOKUP($C435,'ASDR FY1'!$A:$X,R$15,FALSE)/1000</f>
        <v>3246.7195200000001</v>
      </c>
    </row>
    <row r="436" spans="1:18" x14ac:dyDescent="0.25">
      <c r="A436" s="115">
        <f t="shared" si="9"/>
        <v>17</v>
      </c>
      <c r="B436" s="115"/>
      <c r="C436" s="115">
        <v>37300</v>
      </c>
      <c r="D436" s="148" t="s">
        <v>155</v>
      </c>
      <c r="F436" s="125">
        <f>VLOOKUP($C436,'ASDR FY1'!$A:$X,F$15,FALSE)*100</f>
        <v>2.8000000000000003</v>
      </c>
      <c r="G436" s="112"/>
      <c r="H436" s="7">
        <f>VLOOKUP($C436,'ASDR FY1'!$A:$X,H$15,FALSE)/1000</f>
        <v>377393.88342999987</v>
      </c>
      <c r="I436" s="8"/>
      <c r="J436" s="7">
        <f>VLOOKUP($C436,'ASDR FY1'!$A:$X,J$15,FALSE)/1000</f>
        <v>18554.166129999998</v>
      </c>
      <c r="K436" s="9"/>
      <c r="L436" s="7">
        <f>VLOOKUP($C436,'ASDR FY1'!$A:$X,L$15,FALSE)/1000</f>
        <v>-6493.9581500000004</v>
      </c>
      <c r="M436" s="9"/>
      <c r="N436" s="7">
        <f>VLOOKUP($C436,'ASDR FY1'!$A:$X,N$14,FALSE)/1000+VLOOKUP($C436,'ASDR FY1'!$A:$X,N$15,FALSE)/1000</f>
        <v>0</v>
      </c>
      <c r="O436" s="8"/>
      <c r="P436" s="7">
        <f t="shared" si="10"/>
        <v>389454.09140999982</v>
      </c>
      <c r="Q436" s="9"/>
      <c r="R436" s="7">
        <f>VLOOKUP($C436,'ASDR FY1'!$A:$X,R$15,FALSE)/1000</f>
        <v>383939.07436000003</v>
      </c>
    </row>
    <row r="437" spans="1:18" x14ac:dyDescent="0.25">
      <c r="A437" s="115">
        <f t="shared" si="9"/>
        <v>18</v>
      </c>
      <c r="B437" s="115"/>
      <c r="C437" s="115">
        <v>37302</v>
      </c>
      <c r="D437" s="148" t="s">
        <v>156</v>
      </c>
      <c r="F437" s="125">
        <f>VLOOKUP($C437,'ASDR FY1'!$A:$X,F$15,FALSE)*100</f>
        <v>2.8000000000000003</v>
      </c>
      <c r="G437" s="112"/>
      <c r="H437" s="7">
        <f>VLOOKUP($C437,'ASDR FY1'!$A:$X,H$15,FALSE)/1000</f>
        <v>11671.450219999999</v>
      </c>
      <c r="I437" s="8"/>
      <c r="J437" s="7">
        <f>VLOOKUP($C437,'ASDR FY1'!$A:$X,J$15,FALSE)/1000</f>
        <v>10039.283009999999</v>
      </c>
      <c r="K437" s="9"/>
      <c r="L437" s="7">
        <f>VLOOKUP($C437,'ASDR FY1'!$A:$X,L$15,FALSE)/1000</f>
        <v>0</v>
      </c>
      <c r="M437" s="9"/>
      <c r="N437" s="7">
        <f>VLOOKUP($C437,'ASDR FY1'!$A:$X,N$14,FALSE)/1000+VLOOKUP($C437,'ASDR FY1'!$A:$X,N$15,FALSE)/1000</f>
        <v>411.07105999999999</v>
      </c>
      <c r="O437" s="8"/>
      <c r="P437" s="7">
        <f t="shared" si="10"/>
        <v>22121.804289999996</v>
      </c>
      <c r="Q437" s="9"/>
      <c r="R437" s="7">
        <f>VLOOKUP($C437,'ASDR FY1'!$A:$X,R$15,FALSE)/1000</f>
        <v>17802.265100000001</v>
      </c>
    </row>
    <row r="438" spans="1:18" ht="13.8" thickBot="1" x14ac:dyDescent="0.3">
      <c r="A438" s="115">
        <f t="shared" si="9"/>
        <v>19</v>
      </c>
      <c r="B438" s="121"/>
      <c r="D438" s="110" t="s">
        <v>157</v>
      </c>
      <c r="F438" s="125"/>
      <c r="G438" s="112"/>
      <c r="H438" s="61">
        <f>SUM(H422:H437)</f>
        <v>3591766.3358200002</v>
      </c>
      <c r="I438" s="14"/>
      <c r="J438" s="61">
        <f>SUM(J422:J437)</f>
        <v>566581.49744000006</v>
      </c>
      <c r="K438" s="14"/>
      <c r="L438" s="61">
        <f>SUM(L422:L437)</f>
        <v>-71391.831919999997</v>
      </c>
      <c r="M438" s="14"/>
      <c r="N438" s="61">
        <f>SUM(N422:N437)</f>
        <v>411.07105999999999</v>
      </c>
      <c r="O438" s="14"/>
      <c r="P438" s="61">
        <f>SUM(P422:P437)</f>
        <v>4087367.0723999995</v>
      </c>
      <c r="Q438" s="14"/>
      <c r="R438" s="61">
        <f>SUM(R422:R437)</f>
        <v>3865296.416819999</v>
      </c>
    </row>
    <row r="439" spans="1:18" ht="13.8" thickTop="1" x14ac:dyDescent="0.25">
      <c r="A439" s="115">
        <f t="shared" si="9"/>
        <v>20</v>
      </c>
      <c r="B439" s="115"/>
      <c r="F439" s="126"/>
      <c r="O439" s="112"/>
    </row>
    <row r="440" spans="1:18" x14ac:dyDescent="0.25">
      <c r="A440" s="115">
        <f t="shared" si="9"/>
        <v>21</v>
      </c>
      <c r="B440" s="115"/>
      <c r="D440" s="127" t="s">
        <v>158</v>
      </c>
      <c r="E440" s="127"/>
      <c r="F440" s="125"/>
      <c r="H440" s="14"/>
      <c r="I440" s="14"/>
      <c r="J440" s="14"/>
      <c r="K440" s="14"/>
      <c r="L440" s="141"/>
      <c r="M440" s="14"/>
      <c r="N440" s="141"/>
      <c r="O440" s="14"/>
      <c r="P440" s="141"/>
      <c r="Q440" s="14"/>
      <c r="R440" s="141"/>
    </row>
    <row r="441" spans="1:18" x14ac:dyDescent="0.25">
      <c r="A441" s="115">
        <f t="shared" si="9"/>
        <v>22</v>
      </c>
      <c r="B441" s="115"/>
      <c r="C441" s="115">
        <v>39000</v>
      </c>
      <c r="D441" s="148" t="s">
        <v>137</v>
      </c>
      <c r="F441" s="125">
        <f>VLOOKUP($C441,'ASDR FY1'!$A:$X,F$15,FALSE)*100</f>
        <v>1.4000000000000001</v>
      </c>
      <c r="G441" s="112"/>
      <c r="H441" s="7">
        <f>VLOOKUP($C441,'ASDR FY1'!$A:$X,H$15,FALSE)/1000</f>
        <v>141701.82154999994</v>
      </c>
      <c r="I441" s="8"/>
      <c r="J441" s="7">
        <f>VLOOKUP($C441,'ASDR FY1'!$A:$X,J$15,FALSE)/1000</f>
        <v>38697.704100000003</v>
      </c>
      <c r="K441" s="9"/>
      <c r="L441" s="7">
        <f>VLOOKUP($C441,'ASDR FY1'!$A:$X,L$15,FALSE)/1000</f>
        <v>-1958.1434099999999</v>
      </c>
      <c r="M441" s="9"/>
      <c r="N441" s="7">
        <f>VLOOKUP($C441,'ASDR FY1'!$A:$X,N$14,FALSE)/1000+VLOOKUP($C441,'ASDR FY1'!$A:$X,N$15,FALSE)/1000</f>
        <v>0</v>
      </c>
      <c r="O441" s="8"/>
      <c r="P441" s="7">
        <f t="shared" ref="P441:P459" si="11">SUM(H441,J441,L441,N441)</f>
        <v>178441.38223999995</v>
      </c>
      <c r="Q441" s="9"/>
      <c r="R441" s="7">
        <f>VLOOKUP($C441,'ASDR FY1'!$A:$X,R$15,FALSE)/1000</f>
        <v>152622.13044000001</v>
      </c>
    </row>
    <row r="442" spans="1:18" x14ac:dyDescent="0.25">
      <c r="A442" s="115">
        <f t="shared" si="9"/>
        <v>23</v>
      </c>
      <c r="B442" s="115"/>
      <c r="C442" s="115">
        <v>39101</v>
      </c>
      <c r="D442" s="110" t="s">
        <v>159</v>
      </c>
      <c r="F442" s="125">
        <f>VLOOKUP($C442,'ASDR FY1'!$A:$X,F$15,FALSE)*100</f>
        <v>14.299999999999999</v>
      </c>
      <c r="G442" s="112"/>
      <c r="H442" s="7">
        <f>VLOOKUP($C442,'ASDR FY1'!$A:$X,H$15,FALSE)/1000</f>
        <v>7504.2373199999975</v>
      </c>
      <c r="I442" s="8"/>
      <c r="J442" s="7">
        <f>VLOOKUP($C442,'ASDR FY1'!$A:$X,J$15,FALSE)/1000</f>
        <v>220.58331000000001</v>
      </c>
      <c r="K442" s="9"/>
      <c r="L442" s="7">
        <f>VLOOKUP($C442,'ASDR FY1'!$A:$X,L$15,FALSE)/1000</f>
        <v>-922.56535999999994</v>
      </c>
      <c r="M442" s="9"/>
      <c r="N442" s="7">
        <f>VLOOKUP($C442,'ASDR FY1'!$A:$X,N$14,FALSE)/1000+VLOOKUP($C442,'ASDR FY1'!$A:$X,N$15,FALSE)/1000</f>
        <v>0</v>
      </c>
      <c r="O442" s="8"/>
      <c r="P442" s="7">
        <f t="shared" si="11"/>
        <v>6802.2552699999978</v>
      </c>
      <c r="Q442" s="9"/>
      <c r="R442" s="7">
        <f>VLOOKUP($C442,'ASDR FY1'!$A:$X,R$15,FALSE)/1000</f>
        <v>6865.4064900000003</v>
      </c>
    </row>
    <row r="443" spans="1:18" x14ac:dyDescent="0.25">
      <c r="A443" s="115">
        <f t="shared" si="9"/>
        <v>24</v>
      </c>
      <c r="B443" s="115"/>
      <c r="C443" s="115">
        <v>39102</v>
      </c>
      <c r="D443" s="110" t="s">
        <v>160</v>
      </c>
      <c r="F443" s="125">
        <f>VLOOKUP($C443,'ASDR FY1'!$A:$X,F$15,FALSE)*100</f>
        <v>25</v>
      </c>
      <c r="G443" s="112"/>
      <c r="H443" s="7">
        <f>VLOOKUP($C443,'ASDR FY1'!$A:$X,H$15,FALSE)/1000</f>
        <v>12701.327089999999</v>
      </c>
      <c r="I443" s="8"/>
      <c r="J443" s="7">
        <f>VLOOKUP($C443,'ASDR FY1'!$A:$X,J$15,FALSE)/1000</f>
        <v>848.52781000000004</v>
      </c>
      <c r="K443" s="9"/>
      <c r="L443" s="7">
        <f>VLOOKUP($C443,'ASDR FY1'!$A:$X,L$15,FALSE)/1000</f>
        <v>-493.55159000000003</v>
      </c>
      <c r="M443" s="9"/>
      <c r="N443" s="7">
        <f>VLOOKUP($C443,'ASDR FY1'!$A:$X,N$14,FALSE)/1000+VLOOKUP($C443,'ASDR FY1'!$A:$X,N$15,FALSE)/1000</f>
        <v>0</v>
      </c>
      <c r="O443" s="8"/>
      <c r="P443" s="7">
        <f t="shared" si="11"/>
        <v>13056.303309999999</v>
      </c>
      <c r="Q443" s="9"/>
      <c r="R443" s="7">
        <f>VLOOKUP($C443,'ASDR FY1'!$A:$X,R$15,FALSE)/1000</f>
        <v>12611.78448</v>
      </c>
    </row>
    <row r="444" spans="1:18" x14ac:dyDescent="0.25">
      <c r="A444" s="115">
        <f t="shared" si="9"/>
        <v>25</v>
      </c>
      <c r="B444" s="115"/>
      <c r="C444" s="115">
        <v>39103</v>
      </c>
      <c r="D444" s="110" t="s">
        <v>161</v>
      </c>
      <c r="F444" s="125">
        <f>VLOOKUP($C444,'ASDR FY1'!$A:$X,F$15,FALSE)*100</f>
        <v>14.299999999999999</v>
      </c>
      <c r="G444" s="112"/>
      <c r="H444" s="7">
        <f>VLOOKUP($C444,'ASDR FY1'!$A:$X,H$15,FALSE)/1000</f>
        <v>0</v>
      </c>
      <c r="I444" s="8"/>
      <c r="J444" s="7">
        <f>VLOOKUP($C444,'ASDR FY1'!$A:$X,J$15,FALSE)/1000</f>
        <v>0</v>
      </c>
      <c r="K444" s="9"/>
      <c r="L444" s="7">
        <f>VLOOKUP($C444,'ASDR FY1'!$A:$X,L$15,FALSE)/1000</f>
        <v>0</v>
      </c>
      <c r="M444" s="9"/>
      <c r="N444" s="7">
        <f>VLOOKUP($C444,'ASDR FY1'!$A:$X,N$14,FALSE)/1000+VLOOKUP($C444,'ASDR FY1'!$A:$X,N$15,FALSE)/1000</f>
        <v>0</v>
      </c>
      <c r="O444" s="8"/>
      <c r="P444" s="7">
        <f t="shared" si="11"/>
        <v>0</v>
      </c>
      <c r="Q444" s="9"/>
      <c r="R444" s="7">
        <f>VLOOKUP($C444,'ASDR FY1'!$A:$X,R$15,FALSE)/1000</f>
        <v>0</v>
      </c>
    </row>
    <row r="445" spans="1:18" x14ac:dyDescent="0.25">
      <c r="A445" s="115">
        <f t="shared" si="9"/>
        <v>26</v>
      </c>
      <c r="B445" s="115"/>
      <c r="C445" s="115">
        <v>39104</v>
      </c>
      <c r="D445" s="110" t="s">
        <v>162</v>
      </c>
      <c r="F445" s="125">
        <f>VLOOKUP($C445,'ASDR FY1'!$A:$X,F$15,FALSE)*100</f>
        <v>20</v>
      </c>
      <c r="G445" s="112"/>
      <c r="H445" s="7">
        <f>VLOOKUP($C445,'ASDR FY1'!$A:$X,H$15,FALSE)/1000</f>
        <v>49007.452829999973</v>
      </c>
      <c r="I445" s="8"/>
      <c r="J445" s="7">
        <f>VLOOKUP($C445,'ASDR FY1'!$A:$X,J$15,FALSE)/1000</f>
        <v>10379.694680000001</v>
      </c>
      <c r="K445" s="9"/>
      <c r="L445" s="7">
        <f>VLOOKUP($C445,'ASDR FY1'!$A:$X,L$15,FALSE)/1000</f>
        <v>-4025.1444000000001</v>
      </c>
      <c r="M445" s="9"/>
      <c r="N445" s="7">
        <f>VLOOKUP($C445,'ASDR FY1'!$A:$X,N$14,FALSE)/1000+VLOOKUP($C445,'ASDR FY1'!$A:$X,N$15,FALSE)/1000</f>
        <v>0</v>
      </c>
      <c r="O445" s="8"/>
      <c r="P445" s="7">
        <f t="shared" si="11"/>
        <v>55362.003109999976</v>
      </c>
      <c r="Q445" s="9"/>
      <c r="R445" s="7">
        <f>VLOOKUP($C445,'ASDR FY1'!$A:$X,R$15,FALSE)/1000</f>
        <v>51819.315329999998</v>
      </c>
    </row>
    <row r="446" spans="1:18" x14ac:dyDescent="0.25">
      <c r="A446" s="115">
        <f t="shared" si="9"/>
        <v>27</v>
      </c>
      <c r="B446" s="115"/>
      <c r="C446" s="115">
        <v>39202</v>
      </c>
      <c r="D446" s="136" t="s">
        <v>163</v>
      </c>
      <c r="F446" s="125">
        <f>VLOOKUP($C446,'ASDR FY1'!$A:$X,F$15,FALSE)*100</f>
        <v>7.5</v>
      </c>
      <c r="G446" s="112"/>
      <c r="H446" s="7">
        <f>VLOOKUP($C446,'ASDR FY1'!$A:$X,H$15,FALSE)/1000</f>
        <v>29141.69796999999</v>
      </c>
      <c r="I446" s="8"/>
      <c r="J446" s="7">
        <f>VLOOKUP($C446,'ASDR FY1'!$A:$X,J$15,FALSE)/1000</f>
        <v>2231.8368</v>
      </c>
      <c r="K446" s="9"/>
      <c r="L446" s="7">
        <f>VLOOKUP($C446,'ASDR FY1'!$A:$X,L$15,FALSE)/1000</f>
        <v>-334.77552000000003</v>
      </c>
      <c r="M446" s="9"/>
      <c r="N446" s="7">
        <f>VLOOKUP($C446,'ASDR FY1'!$A:$X,N$14,FALSE)/1000+VLOOKUP($C446,'ASDR FY1'!$A:$X,N$15,FALSE)/1000</f>
        <v>0</v>
      </c>
      <c r="O446" s="8"/>
      <c r="P446" s="7">
        <f t="shared" si="11"/>
        <v>31038.759249999992</v>
      </c>
      <c r="Q446" s="9"/>
      <c r="R446" s="7">
        <f>VLOOKUP($C446,'ASDR FY1'!$A:$X,R$15,FALSE)/1000</f>
        <v>30811.26842</v>
      </c>
    </row>
    <row r="447" spans="1:18" x14ac:dyDescent="0.25">
      <c r="A447" s="115">
        <f t="shared" si="9"/>
        <v>28</v>
      </c>
      <c r="B447" s="115"/>
      <c r="C447" s="115">
        <v>39203</v>
      </c>
      <c r="D447" s="136" t="s">
        <v>164</v>
      </c>
      <c r="F447" s="125">
        <f>VLOOKUP($C447,'ASDR FY1'!$A:$X,F$15,FALSE)*100</f>
        <v>5.2</v>
      </c>
      <c r="G447" s="112"/>
      <c r="H447" s="7">
        <f>VLOOKUP($C447,'ASDR FY1'!$A:$X,H$15,FALSE)/1000</f>
        <v>80730.762210000015</v>
      </c>
      <c r="I447" s="8"/>
      <c r="J447" s="7">
        <f>VLOOKUP($C447,'ASDR FY1'!$A:$X,J$15,FALSE)/1000</f>
        <v>0</v>
      </c>
      <c r="K447" s="9"/>
      <c r="L447" s="7">
        <f>VLOOKUP($C447,'ASDR FY1'!$A:$X,L$15,FALSE)/1000</f>
        <v>0</v>
      </c>
      <c r="M447" s="9"/>
      <c r="N447" s="7">
        <f>VLOOKUP($C447,'ASDR FY1'!$A:$X,N$14,FALSE)/1000+VLOOKUP($C447,'ASDR FY1'!$A:$X,N$15,FALSE)/1000</f>
        <v>0</v>
      </c>
      <c r="O447" s="8"/>
      <c r="P447" s="7">
        <f t="shared" si="11"/>
        <v>80730.762210000015</v>
      </c>
      <c r="Q447" s="9"/>
      <c r="R447" s="7">
        <f>VLOOKUP($C447,'ASDR FY1'!$A:$X,R$15,FALSE)/1000</f>
        <v>80730.762209999986</v>
      </c>
    </row>
    <row r="448" spans="1:18" x14ac:dyDescent="0.25">
      <c r="A448" s="115">
        <f t="shared" si="9"/>
        <v>29</v>
      </c>
      <c r="B448" s="121"/>
      <c r="C448" s="115">
        <v>39204</v>
      </c>
      <c r="D448" s="135" t="s">
        <v>165</v>
      </c>
      <c r="E448" s="128"/>
      <c r="F448" s="125">
        <f>VLOOKUP($C448,'ASDR FY1'!$A:$X,F$15,FALSE)*100</f>
        <v>6.5</v>
      </c>
      <c r="G448" s="112"/>
      <c r="H448" s="7">
        <f>VLOOKUP($C448,'ASDR FY1'!$A:$X,H$15,FALSE)/1000</f>
        <v>0</v>
      </c>
      <c r="I448" s="8"/>
      <c r="J448" s="7">
        <f>VLOOKUP($C448,'ASDR FY1'!$A:$X,J$15,FALSE)/1000</f>
        <v>0</v>
      </c>
      <c r="K448" s="9"/>
      <c r="L448" s="7">
        <f>VLOOKUP($C448,'ASDR FY1'!$A:$X,L$15,FALSE)/1000</f>
        <v>0</v>
      </c>
      <c r="M448" s="9"/>
      <c r="N448" s="7">
        <f>VLOOKUP($C448,'ASDR FY1'!$A:$X,N$14,FALSE)/1000+VLOOKUP($C448,'ASDR FY1'!$A:$X,N$15,FALSE)/1000</f>
        <v>0</v>
      </c>
      <c r="O448" s="8"/>
      <c r="P448" s="7">
        <f t="shared" si="11"/>
        <v>0</v>
      </c>
      <c r="Q448" s="9"/>
      <c r="R448" s="7">
        <f>VLOOKUP($C448,'ASDR FY1'!$A:$X,R$15,FALSE)/1000</f>
        <v>0</v>
      </c>
    </row>
    <row r="449" spans="1:18" x14ac:dyDescent="0.25">
      <c r="A449" s="115">
        <f t="shared" si="9"/>
        <v>30</v>
      </c>
      <c r="B449" s="121"/>
      <c r="C449" s="115">
        <v>39212</v>
      </c>
      <c r="D449" s="110" t="s">
        <v>166</v>
      </c>
      <c r="F449" s="125">
        <f>VLOOKUP($C449,'ASDR FY1'!$A:$X,F$15,FALSE)*100</f>
        <v>6.1</v>
      </c>
      <c r="G449" s="112"/>
      <c r="H449" s="7">
        <f>VLOOKUP($C449,'ASDR FY1'!$A:$X,H$15,FALSE)/1000</f>
        <v>6130.1948499999999</v>
      </c>
      <c r="I449" s="8"/>
      <c r="J449" s="7">
        <f>VLOOKUP($C449,'ASDR FY1'!$A:$X,J$15,FALSE)/1000</f>
        <v>331.22762</v>
      </c>
      <c r="K449" s="9"/>
      <c r="L449" s="7">
        <f>VLOOKUP($C449,'ASDR FY1'!$A:$X,L$15,FALSE)/1000</f>
        <v>-49.684150000000002</v>
      </c>
      <c r="M449" s="9"/>
      <c r="N449" s="7">
        <f>VLOOKUP($C449,'ASDR FY1'!$A:$X,N$14,FALSE)/1000+VLOOKUP($C449,'ASDR FY1'!$A:$X,N$15,FALSE)/1000</f>
        <v>0</v>
      </c>
      <c r="O449" s="8"/>
      <c r="P449" s="7">
        <f t="shared" si="11"/>
        <v>6411.7383199999995</v>
      </c>
      <c r="Q449" s="9"/>
      <c r="R449" s="7">
        <f>VLOOKUP($C449,'ASDR FY1'!$A:$X,R$15,FALSE)/1000</f>
        <v>6320.1132800000005</v>
      </c>
    </row>
    <row r="450" spans="1:18" x14ac:dyDescent="0.25">
      <c r="A450" s="115">
        <f t="shared" si="9"/>
        <v>31</v>
      </c>
      <c r="B450" s="121"/>
      <c r="C450" s="115">
        <v>39213</v>
      </c>
      <c r="D450" s="110" t="s">
        <v>167</v>
      </c>
      <c r="F450" s="125">
        <f>VLOOKUP($C450,'ASDR FY1'!$A:$X,F$15,FALSE)*100</f>
        <v>4.8</v>
      </c>
      <c r="G450" s="112"/>
      <c r="H450" s="7">
        <f>VLOOKUP($C450,'ASDR FY1'!$A:$X,H$15,FALSE)/1000</f>
        <v>1071.1473900000001</v>
      </c>
      <c r="I450" s="8"/>
      <c r="J450" s="7">
        <f>VLOOKUP($C450,'ASDR FY1'!$A:$X,J$15,FALSE)/1000</f>
        <v>0</v>
      </c>
      <c r="K450" s="9"/>
      <c r="L450" s="7">
        <f>VLOOKUP($C450,'ASDR FY1'!$A:$X,L$15,FALSE)/1000</f>
        <v>0</v>
      </c>
      <c r="M450" s="9"/>
      <c r="N450" s="7">
        <f>VLOOKUP($C450,'ASDR FY1'!$A:$X,N$14,FALSE)/1000+VLOOKUP($C450,'ASDR FY1'!$A:$X,N$15,FALSE)/1000</f>
        <v>0</v>
      </c>
      <c r="O450" s="8"/>
      <c r="P450" s="7">
        <f t="shared" si="11"/>
        <v>1071.1473900000001</v>
      </c>
      <c r="Q450" s="9"/>
      <c r="R450" s="7">
        <f>VLOOKUP($C450,'ASDR FY1'!$A:$X,R$15,FALSE)/1000</f>
        <v>1071.1473899999999</v>
      </c>
    </row>
    <row r="451" spans="1:18" x14ac:dyDescent="0.25">
      <c r="A451" s="115">
        <f t="shared" si="9"/>
        <v>32</v>
      </c>
      <c r="B451" s="121"/>
      <c r="C451" s="115">
        <v>39214</v>
      </c>
      <c r="D451" s="128" t="s">
        <v>168</v>
      </c>
      <c r="E451" s="128"/>
      <c r="F451" s="125">
        <f>VLOOKUP($C451,'ASDR FY1'!$A:$X,F$15,FALSE)*100</f>
        <v>4.7</v>
      </c>
      <c r="G451" s="112"/>
      <c r="H451" s="7">
        <f>VLOOKUP($C451,'ASDR FY1'!$A:$X,H$15,FALSE)/1000</f>
        <v>0</v>
      </c>
      <c r="I451" s="8"/>
      <c r="J451" s="7">
        <f>VLOOKUP($C451,'ASDR FY1'!$A:$X,J$15,FALSE)/1000</f>
        <v>0</v>
      </c>
      <c r="K451" s="9"/>
      <c r="L451" s="7">
        <f>VLOOKUP($C451,'ASDR FY1'!$A:$X,L$15,FALSE)/1000</f>
        <v>0</v>
      </c>
      <c r="M451" s="9"/>
      <c r="N451" s="7">
        <f>VLOOKUP($C451,'ASDR FY1'!$A:$X,N$14,FALSE)/1000+VLOOKUP($C451,'ASDR FY1'!$A:$X,N$15,FALSE)/1000</f>
        <v>0</v>
      </c>
      <c r="O451" s="8"/>
      <c r="P451" s="7">
        <f t="shared" si="11"/>
        <v>0</v>
      </c>
      <c r="Q451" s="9"/>
      <c r="R451" s="7">
        <f>VLOOKUP($C451,'ASDR FY1'!$A:$X,R$15,FALSE)/1000</f>
        <v>0</v>
      </c>
    </row>
    <row r="452" spans="1:18" x14ac:dyDescent="0.25">
      <c r="A452" s="115">
        <f t="shared" si="9"/>
        <v>33</v>
      </c>
      <c r="B452" s="121"/>
      <c r="C452" s="115">
        <v>39300</v>
      </c>
      <c r="D452" s="128" t="s">
        <v>169</v>
      </c>
      <c r="E452" s="128"/>
      <c r="F452" s="125">
        <f>VLOOKUP($C452,'ASDR FY1'!$A:$X,F$15,FALSE)*100</f>
        <v>14.299999999999999</v>
      </c>
      <c r="G452" s="112"/>
      <c r="H452" s="7">
        <f>VLOOKUP($C452,'ASDR FY1'!$A:$X,H$15,FALSE)/1000</f>
        <v>0</v>
      </c>
      <c r="I452" s="8"/>
      <c r="J452" s="7">
        <f>VLOOKUP($C452,'ASDR FY1'!$A:$X,J$15,FALSE)/1000</f>
        <v>0</v>
      </c>
      <c r="K452" s="9"/>
      <c r="L452" s="7">
        <f>VLOOKUP($C452,'ASDR FY1'!$A:$X,L$15,FALSE)/1000</f>
        <v>0</v>
      </c>
      <c r="M452" s="9"/>
      <c r="N452" s="7">
        <f>VLOOKUP($C452,'ASDR FY1'!$A:$X,N$14,FALSE)/1000+VLOOKUP($C452,'ASDR FY1'!$A:$X,N$15,FALSE)/1000</f>
        <v>0</v>
      </c>
      <c r="O452" s="8"/>
      <c r="P452" s="7">
        <f t="shared" si="11"/>
        <v>0</v>
      </c>
      <c r="Q452" s="9"/>
      <c r="R452" s="7">
        <f>VLOOKUP($C452,'ASDR FY1'!$A:$X,R$15,FALSE)/1000</f>
        <v>0</v>
      </c>
    </row>
    <row r="453" spans="1:18" x14ac:dyDescent="0.25">
      <c r="A453" s="115">
        <f t="shared" si="9"/>
        <v>34</v>
      </c>
      <c r="B453" s="121"/>
      <c r="C453" s="115">
        <v>39400</v>
      </c>
      <c r="D453" s="128" t="s">
        <v>170</v>
      </c>
      <c r="E453" s="128"/>
      <c r="F453" s="125">
        <f>VLOOKUP($C453,'ASDR FY1'!$A:$X,F$15,FALSE)*100</f>
        <v>14.299999999999999</v>
      </c>
      <c r="G453" s="112"/>
      <c r="H453" s="7">
        <f>VLOOKUP($C453,'ASDR FY1'!$A:$X,H$15,FALSE)/1000</f>
        <v>14206.208460000002</v>
      </c>
      <c r="I453" s="8"/>
      <c r="J453" s="7">
        <f>VLOOKUP($C453,'ASDR FY1'!$A:$X,J$15,FALSE)/1000</f>
        <v>4053.6124900000004</v>
      </c>
      <c r="K453" s="9"/>
      <c r="L453" s="7">
        <f>VLOOKUP($C453,'ASDR FY1'!$A:$X,L$15,FALSE)/1000</f>
        <v>-2113.8456900000001</v>
      </c>
      <c r="M453" s="9"/>
      <c r="N453" s="7">
        <f>VLOOKUP($C453,'ASDR FY1'!$A:$X,N$14,FALSE)/1000+VLOOKUP($C453,'ASDR FY1'!$A:$X,N$15,FALSE)/1000</f>
        <v>0</v>
      </c>
      <c r="O453" s="8"/>
      <c r="P453" s="7">
        <f t="shared" si="11"/>
        <v>16145.975260000001</v>
      </c>
      <c r="Q453" s="9"/>
      <c r="R453" s="7">
        <f>VLOOKUP($C453,'ASDR FY1'!$A:$X,R$15,FALSE)/1000</f>
        <v>15715.209070000001</v>
      </c>
    </row>
    <row r="454" spans="1:18" x14ac:dyDescent="0.25">
      <c r="A454" s="115">
        <f t="shared" si="9"/>
        <v>35</v>
      </c>
      <c r="B454" s="121"/>
      <c r="C454" s="115">
        <v>39401</v>
      </c>
      <c r="D454" s="110" t="s">
        <v>171</v>
      </c>
      <c r="F454" s="125">
        <f>VLOOKUP($C454,'ASDR FY1'!$A:$X,F$15,FALSE)*100</f>
        <v>20</v>
      </c>
      <c r="G454" s="112"/>
      <c r="H454" s="7">
        <f>VLOOKUP($C454,'ASDR FY1'!$A:$X,H$15,FALSE)/1000</f>
        <v>4188.5334300000004</v>
      </c>
      <c r="I454" s="8"/>
      <c r="J454" s="7">
        <f>VLOOKUP($C454,'ASDR FY1'!$A:$X,J$15,FALSE)/1000</f>
        <v>0</v>
      </c>
      <c r="K454" s="9"/>
      <c r="L454" s="7">
        <f>VLOOKUP($C454,'ASDR FY1'!$A:$X,L$15,FALSE)/1000</f>
        <v>0</v>
      </c>
      <c r="M454" s="9"/>
      <c r="N454" s="7">
        <f>VLOOKUP($C454,'ASDR FY1'!$A:$X,N$14,FALSE)/1000+VLOOKUP($C454,'ASDR FY1'!$A:$X,N$15,FALSE)/1000</f>
        <v>0</v>
      </c>
      <c r="O454" s="8"/>
      <c r="P454" s="7">
        <f t="shared" si="11"/>
        <v>4188.5334300000004</v>
      </c>
      <c r="Q454" s="9"/>
      <c r="R454" s="7">
        <f>VLOOKUP($C454,'ASDR FY1'!$A:$X,R$15,FALSE)/1000</f>
        <v>4188.5334300000004</v>
      </c>
    </row>
    <row r="455" spans="1:18" x14ac:dyDescent="0.25">
      <c r="A455" s="115">
        <f t="shared" si="9"/>
        <v>36</v>
      </c>
      <c r="B455" s="121"/>
      <c r="C455" s="115">
        <v>39500</v>
      </c>
      <c r="D455" s="110" t="s">
        <v>172</v>
      </c>
      <c r="F455" s="125">
        <f>VLOOKUP($C455,'ASDR FY1'!$A:$X,F$15,FALSE)*100</f>
        <v>14.299999999999999</v>
      </c>
      <c r="G455" s="112"/>
      <c r="H455" s="7">
        <f>VLOOKUP($C455,'ASDR FY1'!$A:$X,H$15,FALSE)/1000</f>
        <v>2697.1748600000019</v>
      </c>
      <c r="I455" s="8"/>
      <c r="J455" s="7">
        <f>VLOOKUP($C455,'ASDR FY1'!$A:$X,J$15,FALSE)/1000</f>
        <v>10745.3148</v>
      </c>
      <c r="K455" s="9"/>
      <c r="L455" s="7">
        <f>VLOOKUP($C455,'ASDR FY1'!$A:$X,L$15,FALSE)/1000</f>
        <v>-638.9476800000001</v>
      </c>
      <c r="M455" s="9"/>
      <c r="N455" s="7">
        <f>VLOOKUP($C455,'ASDR FY1'!$A:$X,N$14,FALSE)/1000+VLOOKUP($C455,'ASDR FY1'!$A:$X,N$15,FALSE)/1000</f>
        <v>0</v>
      </c>
      <c r="O455" s="8"/>
      <c r="P455" s="7">
        <f t="shared" si="11"/>
        <v>12803.541980000004</v>
      </c>
      <c r="Q455" s="9"/>
      <c r="R455" s="7">
        <f>VLOOKUP($C455,'ASDR FY1'!$A:$X,R$15,FALSE)/1000</f>
        <v>6929.2461600000006</v>
      </c>
    </row>
    <row r="456" spans="1:18" x14ac:dyDescent="0.25">
      <c r="A456" s="115">
        <f t="shared" si="9"/>
        <v>37</v>
      </c>
      <c r="B456" s="121"/>
      <c r="C456" s="115">
        <v>39600</v>
      </c>
      <c r="D456" s="110" t="s">
        <v>173</v>
      </c>
      <c r="F456" s="125">
        <f>VLOOKUP($C456,'ASDR FY1'!$A:$X,F$15,FALSE)*100</f>
        <v>14.299999999999999</v>
      </c>
      <c r="G456" s="112"/>
      <c r="H456" s="7">
        <f>VLOOKUP($C456,'ASDR FY1'!$A:$X,H$15,FALSE)/1000</f>
        <v>0</v>
      </c>
      <c r="I456" s="8"/>
      <c r="J456" s="7">
        <f>VLOOKUP($C456,'ASDR FY1'!$A:$X,J$15,FALSE)/1000</f>
        <v>0</v>
      </c>
      <c r="K456" s="9"/>
      <c r="L456" s="7">
        <f>VLOOKUP($C456,'ASDR FY1'!$A:$X,L$15,FALSE)/1000</f>
        <v>0</v>
      </c>
      <c r="M456" s="9"/>
      <c r="N456" s="7">
        <f>VLOOKUP($C456,'ASDR FY1'!$A:$X,N$14,FALSE)/1000+VLOOKUP($C456,'ASDR FY1'!$A:$X,N$15,FALSE)/1000</f>
        <v>0</v>
      </c>
      <c r="O456" s="8"/>
      <c r="P456" s="7">
        <f t="shared" si="11"/>
        <v>0</v>
      </c>
      <c r="Q456" s="9"/>
      <c r="R456" s="7">
        <f>VLOOKUP($C456,'ASDR FY1'!$A:$X,R$15,FALSE)/1000</f>
        <v>0</v>
      </c>
    </row>
    <row r="457" spans="1:18" x14ac:dyDescent="0.25">
      <c r="A457" s="115">
        <f t="shared" si="9"/>
        <v>38</v>
      </c>
      <c r="B457" s="121"/>
      <c r="C457" s="115">
        <v>39700</v>
      </c>
      <c r="D457" s="128" t="s">
        <v>174</v>
      </c>
      <c r="E457" s="128"/>
      <c r="F457" s="125">
        <f>VLOOKUP($C457,'ASDR FY1'!$A:$X,F$15,FALSE)*100</f>
        <v>14.299999999999999</v>
      </c>
      <c r="G457" s="112"/>
      <c r="H457" s="7">
        <f>VLOOKUP($C457,'ASDR FY1'!$A:$X,H$15,FALSE)/1000</f>
        <v>44098.506140000027</v>
      </c>
      <c r="I457" s="8"/>
      <c r="J457" s="7">
        <f>VLOOKUP($C457,'ASDR FY1'!$A:$X,J$15,FALSE)/1000</f>
        <v>6137.4191200000005</v>
      </c>
      <c r="K457" s="9"/>
      <c r="L457" s="7">
        <f>VLOOKUP($C457,'ASDR FY1'!$A:$X,L$15,FALSE)/1000</f>
        <v>-4042.6294700000003</v>
      </c>
      <c r="M457" s="9"/>
      <c r="N457" s="7">
        <f>VLOOKUP($C457,'ASDR FY1'!$A:$X,N$14,FALSE)/1000+VLOOKUP($C457,'ASDR FY1'!$A:$X,N$15,FALSE)/1000</f>
        <v>0</v>
      </c>
      <c r="O457" s="8"/>
      <c r="P457" s="7">
        <f t="shared" si="11"/>
        <v>46193.295790000026</v>
      </c>
      <c r="Q457" s="9"/>
      <c r="R457" s="7">
        <f>VLOOKUP($C457,'ASDR FY1'!$A:$X,R$15,FALSE)/1000</f>
        <v>45170.984060000003</v>
      </c>
    </row>
    <row r="458" spans="1:18" x14ac:dyDescent="0.25">
      <c r="A458" s="115">
        <f t="shared" si="9"/>
        <v>39</v>
      </c>
      <c r="B458" s="121"/>
      <c r="C458" s="113">
        <v>39725</v>
      </c>
      <c r="D458" s="128" t="s">
        <v>175</v>
      </c>
      <c r="E458" s="128"/>
      <c r="F458" s="125">
        <f>VLOOKUP($C458,'ASDR FY1'!$A:$X,F$15,FALSE)*100</f>
        <v>2.9000000000000004</v>
      </c>
      <c r="G458" s="112"/>
      <c r="H458" s="7">
        <f>VLOOKUP($C458,'ASDR FY1'!$A:$X,H$15,FALSE)/1000</f>
        <v>42158.498280000014</v>
      </c>
      <c r="I458" s="8"/>
      <c r="J458" s="7">
        <f>VLOOKUP($C458,'ASDR FY1'!$A:$X,J$15,FALSE)/1000</f>
        <v>10299.65005</v>
      </c>
      <c r="K458" s="9"/>
      <c r="L458" s="7">
        <f>VLOOKUP($C458,'ASDR FY1'!$A:$X,L$15,FALSE)/1000</f>
        <v>-679.93</v>
      </c>
      <c r="M458" s="9"/>
      <c r="N458" s="7">
        <f>VLOOKUP($C458,'ASDR FY1'!$A:$X,N$14,FALSE)/1000+VLOOKUP($C458,'ASDR FY1'!$A:$X,N$15,FALSE)/1000</f>
        <v>0</v>
      </c>
      <c r="O458" s="8"/>
      <c r="P458" s="7">
        <f t="shared" si="11"/>
        <v>51778.218330000011</v>
      </c>
      <c r="Q458" s="9"/>
      <c r="R458" s="7">
        <f>VLOOKUP($C458,'ASDR FY1'!$A:$X,R$15,FALSE)/1000</f>
        <v>43720.194210000001</v>
      </c>
    </row>
    <row r="459" spans="1:18" x14ac:dyDescent="0.25">
      <c r="A459" s="115">
        <f t="shared" si="9"/>
        <v>40</v>
      </c>
      <c r="B459" s="121"/>
      <c r="C459" s="113">
        <v>39800</v>
      </c>
      <c r="D459" s="128" t="s">
        <v>176</v>
      </c>
      <c r="E459" s="128"/>
      <c r="F459" s="125">
        <f>VLOOKUP($C459,'ASDR FY1'!$A:$X,F$15,FALSE)*100</f>
        <v>14.299999999999999</v>
      </c>
      <c r="G459" s="112"/>
      <c r="H459" s="7">
        <f>VLOOKUP($C459,'ASDR FY1'!$A:$X,H$15,FALSE)/1000</f>
        <v>5162.27646</v>
      </c>
      <c r="I459" s="8"/>
      <c r="J459" s="7">
        <f>VLOOKUP($C459,'ASDR FY1'!$A:$X,J$15,FALSE)/1000</f>
        <v>301.66199</v>
      </c>
      <c r="K459" s="9"/>
      <c r="L459" s="7">
        <f>VLOOKUP($C459,'ASDR FY1'!$A:$X,L$15,FALSE)/1000</f>
        <v>-195.25140999999999</v>
      </c>
      <c r="M459" s="9"/>
      <c r="N459" s="7">
        <f>VLOOKUP($C459,'ASDR FY1'!$A:$X,N$14,FALSE)/1000+VLOOKUP($C459,'ASDR FY1'!$A:$X,N$15,FALSE)/1000</f>
        <v>0</v>
      </c>
      <c r="O459" s="8"/>
      <c r="P459" s="7">
        <f t="shared" si="11"/>
        <v>5268.6870399999998</v>
      </c>
      <c r="Q459" s="9"/>
      <c r="R459" s="7">
        <f>VLOOKUP($C459,'ASDR FY1'!$A:$X,R$15,FALSE)/1000</f>
        <v>5160.4923899999994</v>
      </c>
    </row>
    <row r="460" spans="1:18" ht="13.8" thickBot="1" x14ac:dyDescent="0.3">
      <c r="A460" s="115">
        <f t="shared" si="9"/>
        <v>41</v>
      </c>
      <c r="B460" s="121"/>
      <c r="C460" s="113"/>
      <c r="D460" s="128" t="s">
        <v>177</v>
      </c>
      <c r="E460" s="128"/>
      <c r="H460" s="61">
        <f>SUM(H441:H459)</f>
        <v>440499.83883999992</v>
      </c>
      <c r="I460" s="14"/>
      <c r="J460" s="61">
        <f>SUM(J441:J459)</f>
        <v>84247.232770000002</v>
      </c>
      <c r="K460" s="14"/>
      <c r="L460" s="61">
        <f>SUM(L441:L459)</f>
        <v>-15454.46868</v>
      </c>
      <c r="M460" s="14"/>
      <c r="N460" s="61">
        <f>SUM(N441:N459)</f>
        <v>0</v>
      </c>
      <c r="O460" s="14"/>
      <c r="P460" s="61">
        <f>SUM(P441:P459)</f>
        <v>509292.60292999988</v>
      </c>
      <c r="Q460" s="14"/>
      <c r="R460" s="61">
        <f>SUM(R441:R459)</f>
        <v>463736.58735999989</v>
      </c>
    </row>
    <row r="461" spans="1:18" ht="13.8" thickTop="1" x14ac:dyDescent="0.25">
      <c r="A461" s="115">
        <f t="shared" si="9"/>
        <v>42</v>
      </c>
      <c r="B461" s="121"/>
      <c r="C461" s="125"/>
      <c r="O461" s="112"/>
    </row>
    <row r="462" spans="1:18" ht="13.8" thickBot="1" x14ac:dyDescent="0.3">
      <c r="A462" s="115">
        <f t="shared" si="9"/>
        <v>43</v>
      </c>
      <c r="B462" s="121"/>
      <c r="C462" s="125"/>
      <c r="D462" s="135" t="s">
        <v>178</v>
      </c>
      <c r="E462" s="128"/>
      <c r="F462" s="153"/>
      <c r="G462" s="153"/>
      <c r="H462" s="27">
        <f>SUM(H136,H386,H402,H438,H460)</f>
        <v>11715674.540379999</v>
      </c>
      <c r="I462" s="14"/>
      <c r="J462" s="27">
        <f>SUM(J136,J386,J402,J438,J460)</f>
        <v>1199023.3336400003</v>
      </c>
      <c r="K462" s="14"/>
      <c r="L462" s="27">
        <f>SUM(L136,L386,L402,L438,L460)</f>
        <v>-143422.62042999998</v>
      </c>
      <c r="M462" s="14"/>
      <c r="N462" s="27">
        <f>SUM(N136,N386,N402,N438,N460)</f>
        <v>411.07105999999999</v>
      </c>
      <c r="O462" s="14"/>
      <c r="P462" s="27">
        <f>SUM(P136,P386,P402,P438,P460)</f>
        <v>12771686.324649999</v>
      </c>
      <c r="Q462" s="14"/>
      <c r="R462" s="27">
        <f>SUM(R136,R386,R402,R438,R460)</f>
        <v>12211770.712599998</v>
      </c>
    </row>
    <row r="463" spans="1:18" ht="14.4" thickTop="1" thickBot="1" x14ac:dyDescent="0.3">
      <c r="A463" s="116">
        <f t="shared" si="9"/>
        <v>44</v>
      </c>
      <c r="B463" s="19" t="s">
        <v>59</v>
      </c>
      <c r="C463" s="109"/>
      <c r="D463" s="109"/>
      <c r="E463" s="109"/>
      <c r="F463" s="109"/>
      <c r="G463" s="109"/>
      <c r="H463" s="109"/>
      <c r="I463" s="109"/>
      <c r="J463" s="109"/>
      <c r="K463" s="109"/>
      <c r="L463" s="109"/>
      <c r="M463" s="109"/>
      <c r="N463" s="109"/>
      <c r="O463" s="131"/>
      <c r="P463" s="109"/>
      <c r="Q463" s="109"/>
      <c r="R463" s="109"/>
    </row>
    <row r="464" spans="1:18" x14ac:dyDescent="0.25">
      <c r="A464" s="110" t="str">
        <f>$A$58</f>
        <v>Supporting Schedules:  B-08, B-11</v>
      </c>
      <c r="O464" s="112"/>
      <c r="P464" s="110" t="str">
        <f>$P$58</f>
        <v>Recap Schedules:  B-03, B-06</v>
      </c>
    </row>
    <row r="465" spans="1:18" ht="13.8" thickBot="1" x14ac:dyDescent="0.3">
      <c r="A465" s="109" t="str">
        <f>$A$1</f>
        <v>SCHEDULE B-07</v>
      </c>
      <c r="B465" s="109"/>
      <c r="C465" s="109"/>
      <c r="D465" s="109"/>
      <c r="E465" s="109"/>
      <c r="F465" s="109"/>
      <c r="G465" s="109" t="str">
        <f>$G$1</f>
        <v>PLANT BALANCES BY ACCOUNT AND SUB-ACCOUNT</v>
      </c>
      <c r="H465" s="109"/>
      <c r="I465" s="109"/>
      <c r="J465" s="109"/>
      <c r="K465" s="109"/>
      <c r="L465" s="109"/>
      <c r="M465" s="109"/>
      <c r="N465" s="109"/>
      <c r="O465" s="131"/>
      <c r="P465" s="109"/>
      <c r="Q465" s="109"/>
      <c r="R465" s="109" t="str">
        <f>"Page 19 of " &amp; $P$1</f>
        <v>Page 19 of 30</v>
      </c>
    </row>
    <row r="466" spans="1:18" x14ac:dyDescent="0.25">
      <c r="A466" s="110" t="str">
        <f>$A$2</f>
        <v>FLORIDA PUBLIC SERVICE COMMISSION</v>
      </c>
      <c r="B466" s="132"/>
      <c r="E466" s="112" t="str">
        <f>$E$2</f>
        <v xml:space="preserve">                  EXPLANATION:</v>
      </c>
      <c r="F466" s="110" t="str">
        <f>IF($F$2="","",$F$2)</f>
        <v>Provide the depreciation rate and plant balances for each account or sub-account to which</v>
      </c>
      <c r="J466" s="133"/>
      <c r="K466" s="133"/>
      <c r="M466" s="133"/>
      <c r="N466" s="133"/>
      <c r="O466" s="134"/>
      <c r="P466" s="110" t="str">
        <f>$P$2</f>
        <v>Type of data shown:</v>
      </c>
      <c r="R466" s="111"/>
    </row>
    <row r="467" spans="1:18" x14ac:dyDescent="0.25">
      <c r="B467" s="132"/>
      <c r="F467" s="110" t="str">
        <f>IF($F$3="","",$F$3)</f>
        <v>a separate depreciation rate is prescribed. (Include Amortization/Recovery schedule amounts).</v>
      </c>
      <c r="J467" s="112"/>
      <c r="K467" s="111"/>
      <c r="N467" s="112"/>
      <c r="O467" s="112" t="str">
        <f>IF($O$3=0,"",$O$3)</f>
        <v/>
      </c>
      <c r="P467" s="111" t="str">
        <f>$P$3</f>
        <v>Projected Test Year Ended 12/31/2025</v>
      </c>
      <c r="R467" s="112"/>
    </row>
    <row r="468" spans="1:18" x14ac:dyDescent="0.25">
      <c r="A468" s="110" t="str">
        <f>$A$4</f>
        <v>COMPANY: TAMPA ELECTRIC COMPANY</v>
      </c>
      <c r="B468" s="132"/>
      <c r="F468" s="110" t="str">
        <f>IF(+$F$4="","",$F$4)</f>
        <v/>
      </c>
      <c r="J468" s="112"/>
      <c r="K468" s="111"/>
      <c r="L468" s="112"/>
      <c r="O468" s="112" t="str">
        <f>IF($O$4=0,"",$O$4)</f>
        <v>XX</v>
      </c>
      <c r="P468" s="111" t="str">
        <f>$P$4</f>
        <v>Projected Prior Year Ended 12/31/2024</v>
      </c>
      <c r="R468" s="112"/>
    </row>
    <row r="469" spans="1:18" x14ac:dyDescent="0.25">
      <c r="B469" s="132"/>
      <c r="F469" s="110" t="str">
        <f>IF(+$F$5="","",$F$5)</f>
        <v/>
      </c>
      <c r="J469" s="112"/>
      <c r="K469" s="111"/>
      <c r="L469" s="112"/>
      <c r="O469" s="112" t="str">
        <f>IF($O$5=0,"",$O$5)</f>
        <v/>
      </c>
      <c r="P469" s="111" t="str">
        <f>$P$5</f>
        <v>Historical Prior Year Ended 12/31/2023</v>
      </c>
      <c r="R469" s="112"/>
    </row>
    <row r="470" spans="1:18" x14ac:dyDescent="0.25">
      <c r="J470" s="112"/>
      <c r="K470" s="111"/>
      <c r="L470" s="112"/>
      <c r="O470" s="112"/>
      <c r="P470" s="160" t="s">
        <v>573</v>
      </c>
      <c r="R470" s="112"/>
    </row>
    <row r="471" spans="1:18" x14ac:dyDescent="0.25">
      <c r="J471" s="112"/>
      <c r="K471" s="111"/>
      <c r="L471" s="112"/>
      <c r="O471" s="112"/>
      <c r="P471" s="160" t="s">
        <v>574</v>
      </c>
      <c r="R471" s="112"/>
    </row>
    <row r="472" spans="1:18" ht="13.8" thickBot="1" x14ac:dyDescent="0.3">
      <c r="A472" s="157" t="s">
        <v>572</v>
      </c>
      <c r="B472" s="109"/>
      <c r="C472" s="109"/>
      <c r="D472" s="109"/>
      <c r="E472" s="109"/>
      <c r="F472" s="109"/>
      <c r="G472" s="109"/>
      <c r="H472" s="116" t="s">
        <v>12</v>
      </c>
      <c r="I472" s="109"/>
      <c r="J472" s="109"/>
      <c r="K472" s="109"/>
      <c r="L472" s="109"/>
      <c r="M472" s="109"/>
      <c r="N472" s="109"/>
      <c r="O472" s="131"/>
      <c r="P472" s="161" t="s">
        <v>575</v>
      </c>
      <c r="Q472" s="109"/>
      <c r="R472" s="109"/>
    </row>
    <row r="473" spans="1:18" x14ac:dyDescent="0.25">
      <c r="C473" s="113"/>
      <c r="D473" s="113"/>
      <c r="E473" s="113"/>
      <c r="F473" s="113"/>
      <c r="G473" s="113"/>
      <c r="H473" s="113"/>
      <c r="I473" s="113"/>
      <c r="J473" s="113"/>
      <c r="K473" s="113"/>
      <c r="L473" s="113"/>
      <c r="M473" s="113"/>
      <c r="N473" s="113"/>
      <c r="O473" s="114"/>
      <c r="P473" s="113"/>
      <c r="Q473" s="113"/>
      <c r="R473" s="113"/>
    </row>
    <row r="474" spans="1:18" x14ac:dyDescent="0.25">
      <c r="C474" s="113" t="s">
        <v>13</v>
      </c>
      <c r="D474" s="113" t="s">
        <v>14</v>
      </c>
      <c r="E474" s="113"/>
      <c r="F474" s="113" t="s">
        <v>15</v>
      </c>
      <c r="G474" s="113"/>
      <c r="H474" s="113" t="s">
        <v>16</v>
      </c>
      <c r="I474" s="113"/>
      <c r="J474" s="115" t="s">
        <v>17</v>
      </c>
      <c r="K474" s="115"/>
      <c r="L474" s="113" t="s">
        <v>18</v>
      </c>
      <c r="M474" s="113"/>
      <c r="N474" s="113" t="s">
        <v>19</v>
      </c>
      <c r="O474" s="114"/>
      <c r="P474" s="113" t="s">
        <v>20</v>
      </c>
      <c r="Q474" s="113"/>
      <c r="R474" s="113" t="s">
        <v>21</v>
      </c>
    </row>
    <row r="475" spans="1:18" x14ac:dyDescent="0.25">
      <c r="C475" s="115" t="s">
        <v>22</v>
      </c>
      <c r="D475" s="115" t="s">
        <v>22</v>
      </c>
      <c r="F475" s="115" t="s">
        <v>23</v>
      </c>
      <c r="G475" s="115"/>
      <c r="H475" s="113" t="s">
        <v>24</v>
      </c>
      <c r="I475" s="115"/>
      <c r="J475" s="113" t="s">
        <v>25</v>
      </c>
      <c r="K475" s="115"/>
      <c r="L475" s="115" t="s">
        <v>25</v>
      </c>
      <c r="M475" s="115"/>
      <c r="O475" s="112"/>
      <c r="P475" s="115" t="s">
        <v>24</v>
      </c>
      <c r="R475" s="115"/>
    </row>
    <row r="476" spans="1:18" x14ac:dyDescent="0.25">
      <c r="A476" s="115" t="s">
        <v>26</v>
      </c>
      <c r="B476" s="115"/>
      <c r="C476" s="115" t="s">
        <v>27</v>
      </c>
      <c r="D476" s="115" t="s">
        <v>27</v>
      </c>
      <c r="E476" s="113"/>
      <c r="F476" s="115" t="s">
        <v>28</v>
      </c>
      <c r="G476" s="115"/>
      <c r="H476" s="115" t="s">
        <v>29</v>
      </c>
      <c r="I476" s="115"/>
      <c r="J476" s="115" t="s">
        <v>24</v>
      </c>
      <c r="K476" s="113"/>
      <c r="L476" s="115" t="s">
        <v>24</v>
      </c>
      <c r="M476" s="111"/>
      <c r="N476" s="115" t="s">
        <v>30</v>
      </c>
      <c r="O476" s="114"/>
      <c r="P476" s="113" t="s">
        <v>29</v>
      </c>
      <c r="Q476" s="113"/>
      <c r="R476" s="115" t="s">
        <v>31</v>
      </c>
    </row>
    <row r="477" spans="1:18" ht="13.8" thickBot="1" x14ac:dyDescent="0.3">
      <c r="A477" s="116" t="s">
        <v>32</v>
      </c>
      <c r="B477" s="116"/>
      <c r="C477" s="116" t="s">
        <v>33</v>
      </c>
      <c r="D477" s="116" t="s">
        <v>34</v>
      </c>
      <c r="E477" s="116"/>
      <c r="F477" s="117" t="s">
        <v>35</v>
      </c>
      <c r="G477" s="117"/>
      <c r="H477" s="117" t="s">
        <v>36</v>
      </c>
      <c r="I477" s="118"/>
      <c r="J477" s="117" t="s">
        <v>37</v>
      </c>
      <c r="K477" s="118"/>
      <c r="L477" s="118" t="s">
        <v>38</v>
      </c>
      <c r="M477" s="119"/>
      <c r="N477" s="119" t="s">
        <v>39</v>
      </c>
      <c r="O477" s="120"/>
      <c r="P477" s="119" t="s">
        <v>40</v>
      </c>
      <c r="Q477" s="119"/>
      <c r="R477" s="119" t="s">
        <v>41</v>
      </c>
    </row>
    <row r="478" spans="1:18" x14ac:dyDescent="0.25">
      <c r="A478" s="115">
        <v>1</v>
      </c>
      <c r="B478" s="121"/>
      <c r="O478" s="112"/>
    </row>
    <row r="479" spans="1:18" x14ac:dyDescent="0.25">
      <c r="A479" s="115">
        <f>A478+1</f>
        <v>2</v>
      </c>
      <c r="B479" s="121"/>
      <c r="C479" s="125"/>
      <c r="D479" s="110" t="s">
        <v>179</v>
      </c>
      <c r="H479" s="151"/>
      <c r="I479" s="151"/>
      <c r="J479" s="151"/>
      <c r="K479" s="151"/>
      <c r="L479" s="151"/>
      <c r="M479" s="151"/>
      <c r="N479" s="151"/>
      <c r="O479" s="152"/>
      <c r="P479" s="151"/>
      <c r="Q479" s="151"/>
      <c r="R479" s="151"/>
    </row>
    <row r="480" spans="1:18" x14ac:dyDescent="0.25">
      <c r="A480" s="115">
        <f t="shared" ref="A480:A521" si="12">A479+1</f>
        <v>3</v>
      </c>
      <c r="B480" s="121"/>
      <c r="C480" s="115" t="s">
        <v>180</v>
      </c>
      <c r="D480" s="28" t="s">
        <v>181</v>
      </c>
      <c r="E480" s="5"/>
      <c r="F480" s="125">
        <v>0</v>
      </c>
      <c r="G480" s="112"/>
      <c r="H480" s="7">
        <f>SUM('ASDR FY1'!C33:C35)/1000</f>
        <v>6923.6285099999996</v>
      </c>
      <c r="I480" s="8"/>
      <c r="J480" s="7">
        <f>SUM('ASDR FY1'!D33:D35)/1000</f>
        <v>0</v>
      </c>
      <c r="K480" s="9"/>
      <c r="L480" s="7">
        <f>SUM('ASDR FY1'!E33:E35)/1000</f>
        <v>0</v>
      </c>
      <c r="M480" s="9"/>
      <c r="N480" s="7">
        <f>SUM('ASDR FY1'!F33:F35)/1000+SUM('ASDR FY1'!G33:G35)/1000</f>
        <v>0</v>
      </c>
      <c r="O480" s="8"/>
      <c r="P480" s="7">
        <f>SUM(H480,J480,L480,N480)</f>
        <v>6923.6285099999996</v>
      </c>
      <c r="Q480" s="9"/>
      <c r="R480" s="7">
        <f>SUM('ASDR FY1'!I33:I35)/1000</f>
        <v>6923.6285099999996</v>
      </c>
    </row>
    <row r="481" spans="1:18" x14ac:dyDescent="0.25">
      <c r="A481" s="115">
        <f t="shared" si="12"/>
        <v>4</v>
      </c>
      <c r="B481" s="121"/>
      <c r="C481" s="115" t="s">
        <v>182</v>
      </c>
      <c r="D481" s="29" t="s">
        <v>183</v>
      </c>
      <c r="E481" s="30"/>
      <c r="F481" s="125">
        <v>0</v>
      </c>
      <c r="G481" s="112"/>
      <c r="H481" s="7">
        <f>SUM('ASDR FY1'!C118:C122)/1000</f>
        <v>187259.95965999999</v>
      </c>
      <c r="I481" s="8"/>
      <c r="J481" s="7">
        <f>SUM('ASDR FY1'!D118:D122)/1000</f>
        <v>6693.6408000000001</v>
      </c>
      <c r="K481" s="9"/>
      <c r="L481" s="7">
        <f>SUM('ASDR FY1'!E118:E122)/1000</f>
        <v>0</v>
      </c>
      <c r="M481" s="9"/>
      <c r="N481" s="7">
        <f>SUM('ASDR FY1'!F118:F122)/1000+SUM('ASDR FY1'!G118:G122)/1000</f>
        <v>0</v>
      </c>
      <c r="O481" s="8"/>
      <c r="P481" s="7">
        <f>SUM(H481,J481,L481,N481)</f>
        <v>193953.60045999999</v>
      </c>
      <c r="Q481" s="9"/>
      <c r="R481" s="7">
        <f>SUM('ASDR FY1'!I118:I122)/1000</f>
        <v>187774.85511</v>
      </c>
    </row>
    <row r="482" spans="1:18" x14ac:dyDescent="0.25">
      <c r="A482" s="115">
        <f t="shared" si="12"/>
        <v>5</v>
      </c>
      <c r="B482" s="121"/>
      <c r="C482" s="115">
        <v>35000</v>
      </c>
      <c r="D482" s="31" t="s">
        <v>184</v>
      </c>
      <c r="E482" s="32"/>
      <c r="F482" s="125">
        <f>VLOOKUP($C482,'ASDR FY1'!$A:$X,F$15,FALSE)*100</f>
        <v>0</v>
      </c>
      <c r="G482" s="112"/>
      <c r="H482" s="7">
        <f>VLOOKUP($C482,'ASDR FY1'!$A:$X,H$15,FALSE)/1000</f>
        <v>17799.99856</v>
      </c>
      <c r="I482" s="8"/>
      <c r="J482" s="7">
        <f>VLOOKUP($C482,'ASDR FY1'!$A:$X,J$15,FALSE)/1000</f>
        <v>0</v>
      </c>
      <c r="K482" s="9"/>
      <c r="L482" s="7">
        <f>VLOOKUP($C482,'ASDR FY1'!$A:$X,L$15,FALSE)/1000</f>
        <v>0</v>
      </c>
      <c r="M482" s="9"/>
      <c r="N482" s="7">
        <f>VLOOKUP($C482,'ASDR FY1'!$A:$X,N$14,FALSE)/1000+VLOOKUP($C482,'ASDR FY1'!$A:$X,N$15,FALSE)/1000</f>
        <v>0</v>
      </c>
      <c r="O482" s="8"/>
      <c r="P482" s="7">
        <f>SUM(H482,J482,L482,N482)</f>
        <v>17799.99856</v>
      </c>
      <c r="Q482" s="9"/>
      <c r="R482" s="7">
        <f>VLOOKUP($C482,'ASDR FY1'!$A:$X,R$15,FALSE)/1000</f>
        <v>17799.99856</v>
      </c>
    </row>
    <row r="483" spans="1:18" x14ac:dyDescent="0.25">
      <c r="A483" s="115">
        <f t="shared" si="12"/>
        <v>6</v>
      </c>
      <c r="B483" s="121"/>
      <c r="C483" s="115">
        <v>36000</v>
      </c>
      <c r="D483" s="31" t="s">
        <v>185</v>
      </c>
      <c r="E483" s="32"/>
      <c r="F483" s="125">
        <f>VLOOKUP($C483,'ASDR FY1'!$A:$X,F$15,FALSE)*100</f>
        <v>0</v>
      </c>
      <c r="G483" s="112"/>
      <c r="H483" s="7">
        <f>VLOOKUP($C483,'ASDR FY1'!$A:$X,H$15,FALSE)/1000</f>
        <v>10119.782539999998</v>
      </c>
      <c r="I483" s="8"/>
      <c r="J483" s="7">
        <f>VLOOKUP($C483,'ASDR FY1'!$A:$X,J$15,FALSE)/1000</f>
        <v>0</v>
      </c>
      <c r="K483" s="9"/>
      <c r="L483" s="7">
        <f>VLOOKUP($C483,'ASDR FY1'!$A:$X,L$15,FALSE)/1000</f>
        <v>0</v>
      </c>
      <c r="M483" s="9"/>
      <c r="N483" s="7">
        <f>VLOOKUP($C483,'ASDR FY1'!$A:$X,N$14,FALSE)/1000+VLOOKUP($C483,'ASDR FY1'!$A:$X,N$15,FALSE)/1000</f>
        <v>0</v>
      </c>
      <c r="O483" s="8"/>
      <c r="P483" s="7">
        <f>SUM(H483,J483,L483,N483)</f>
        <v>10119.782539999998</v>
      </c>
      <c r="Q483" s="9"/>
      <c r="R483" s="7">
        <f>VLOOKUP($C483,'ASDR FY1'!$A:$X,R$15,FALSE)/1000</f>
        <v>10119.782539999998</v>
      </c>
    </row>
    <row r="484" spans="1:18" x14ac:dyDescent="0.25">
      <c r="A484" s="115">
        <f t="shared" si="12"/>
        <v>7</v>
      </c>
      <c r="B484" s="121"/>
      <c r="C484" s="115">
        <v>38900</v>
      </c>
      <c r="D484" s="31" t="s">
        <v>186</v>
      </c>
      <c r="E484" s="32"/>
      <c r="F484" s="125">
        <f>VLOOKUP($C484,'ASDR FY1'!$A:$X,F$15,FALSE)*100</f>
        <v>0</v>
      </c>
      <c r="G484" s="112"/>
      <c r="H484" s="7">
        <f>VLOOKUP($C484,'ASDR FY1'!$A:$X,H$15,FALSE)/1000</f>
        <v>3286.63042</v>
      </c>
      <c r="I484" s="8"/>
      <c r="J484" s="7">
        <f>VLOOKUP($C484,'ASDR FY1'!$A:$X,J$15,FALSE)/1000</f>
        <v>0</v>
      </c>
      <c r="K484" s="9"/>
      <c r="L484" s="7">
        <f>VLOOKUP($C484,'ASDR FY1'!$A:$X,L$15,FALSE)/1000</f>
        <v>0</v>
      </c>
      <c r="M484" s="9"/>
      <c r="N484" s="7">
        <f>VLOOKUP($C484,'ASDR FY1'!$A:$X,N$14,FALSE)/1000+VLOOKUP($C484,'ASDR FY1'!$A:$X,N$15,FALSE)/1000</f>
        <v>0</v>
      </c>
      <c r="O484" s="8"/>
      <c r="P484" s="7">
        <f>SUM(H484,J484,L484,N484)</f>
        <v>3286.63042</v>
      </c>
      <c r="Q484" s="9"/>
      <c r="R484" s="7">
        <f>VLOOKUP($C484,'ASDR FY1'!$A:$X,R$15,FALSE)/1000</f>
        <v>3286.63042</v>
      </c>
    </row>
    <row r="485" spans="1:18" ht="13.8" thickBot="1" x14ac:dyDescent="0.3">
      <c r="A485" s="115">
        <f t="shared" si="12"/>
        <v>8</v>
      </c>
      <c r="B485" s="121"/>
      <c r="C485" s="115"/>
      <c r="D485" s="29" t="s">
        <v>187</v>
      </c>
      <c r="E485" s="30"/>
      <c r="F485" s="91"/>
      <c r="G485" s="30"/>
      <c r="H485" s="63">
        <f>SUM(H480:H484)</f>
        <v>225389.99969</v>
      </c>
      <c r="I485" s="14"/>
      <c r="J485" s="63">
        <f>SUM(J480:J484)</f>
        <v>6693.6408000000001</v>
      </c>
      <c r="K485" s="14"/>
      <c r="L485" s="63">
        <f>SUM(L480:L484)</f>
        <v>0</v>
      </c>
      <c r="M485" s="14"/>
      <c r="N485" s="63">
        <f>SUM(N480:N484)</f>
        <v>0</v>
      </c>
      <c r="O485" s="14"/>
      <c r="P485" s="63">
        <f>SUM(P480:P484)</f>
        <v>232083.64048999999</v>
      </c>
      <c r="Q485" s="14"/>
      <c r="R485" s="63">
        <f>SUM(R480:R484)</f>
        <v>225904.89514000001</v>
      </c>
    </row>
    <row r="486" spans="1:18" ht="13.8" thickTop="1" x14ac:dyDescent="0.25">
      <c r="A486" s="115">
        <f t="shared" si="12"/>
        <v>9</v>
      </c>
      <c r="B486" s="121"/>
      <c r="F486" s="126"/>
      <c r="O486" s="112"/>
    </row>
    <row r="487" spans="1:18" x14ac:dyDescent="0.25">
      <c r="A487" s="115">
        <f t="shared" si="12"/>
        <v>10</v>
      </c>
      <c r="B487" s="121"/>
      <c r="C487" s="115"/>
      <c r="D487" s="33" t="s">
        <v>188</v>
      </c>
      <c r="E487" s="5"/>
      <c r="F487" s="92"/>
      <c r="G487" s="5"/>
      <c r="H487" s="14"/>
      <c r="I487" s="14"/>
      <c r="J487" s="141"/>
      <c r="K487" s="14"/>
      <c r="L487" s="141"/>
      <c r="M487" s="14"/>
      <c r="N487" s="141"/>
      <c r="O487" s="14"/>
      <c r="P487" s="141"/>
      <c r="Q487" s="14"/>
      <c r="R487" s="141"/>
    </row>
    <row r="488" spans="1:18" x14ac:dyDescent="0.25">
      <c r="A488" s="115">
        <f t="shared" si="12"/>
        <v>11</v>
      </c>
      <c r="B488" s="121"/>
      <c r="C488" s="115">
        <v>30315</v>
      </c>
      <c r="D488" s="16" t="s">
        <v>189</v>
      </c>
      <c r="F488" s="125">
        <f>VLOOKUP($C488,'ASDR FY1'!$A:$X,F$15,FALSE)*100</f>
        <v>6.7</v>
      </c>
      <c r="G488" s="112"/>
      <c r="H488" s="7">
        <f>VLOOKUP($C488,'ASDR FY1'!$A:$X,H$15,FALSE)/1000</f>
        <v>521517.15644000005</v>
      </c>
      <c r="I488" s="8"/>
      <c r="J488" s="7">
        <f>VLOOKUP($C488,'ASDR FY1'!$A:$X,J$15,FALSE)/1000</f>
        <v>76249.333769999997</v>
      </c>
      <c r="K488" s="9"/>
      <c r="L488" s="7">
        <f>VLOOKUP($C488,'ASDR FY1'!$A:$X,L$15,FALSE)/1000</f>
        <v>-20171.17236</v>
      </c>
      <c r="M488" s="9"/>
      <c r="N488" s="7">
        <f>VLOOKUP($C488,'ASDR FY1'!$A:$X,N$14,FALSE)/1000+VLOOKUP($C488,'ASDR FY1'!$A:$X,N$15,FALSE)/1000</f>
        <v>0</v>
      </c>
      <c r="O488" s="8"/>
      <c r="P488" s="7">
        <f>SUM(H488,J488,L488,N488)</f>
        <v>577595.31785000011</v>
      </c>
      <c r="Q488" s="9"/>
      <c r="R488" s="7">
        <f>VLOOKUP($C488,'ASDR FY1'!$A:$X,R$15,FALSE)/1000</f>
        <v>541000.15490999992</v>
      </c>
    </row>
    <row r="489" spans="1:18" x14ac:dyDescent="0.25">
      <c r="A489" s="115">
        <f t="shared" si="12"/>
        <v>12</v>
      </c>
      <c r="B489" s="121"/>
      <c r="C489" s="115">
        <v>30302</v>
      </c>
      <c r="D489" s="110" t="s">
        <v>190</v>
      </c>
      <c r="F489" s="125">
        <f>VLOOKUP($C489,'ASDR FY1'!$A:$X,F$15,FALSE)*100</f>
        <v>0</v>
      </c>
      <c r="G489" s="112"/>
      <c r="H489" s="7">
        <f>VLOOKUP($C489,'ASDR FY1'!$A:$X,H$15,FALSE)/1000</f>
        <v>0</v>
      </c>
      <c r="I489" s="8"/>
      <c r="J489" s="7">
        <f>VLOOKUP($C489,'ASDR FY1'!$A:$X,J$15,FALSE)/1000</f>
        <v>0</v>
      </c>
      <c r="K489" s="9"/>
      <c r="L489" s="7">
        <f>VLOOKUP($C489,'ASDR FY1'!$A:$X,L$15,FALSE)/1000</f>
        <v>0</v>
      </c>
      <c r="M489" s="9"/>
      <c r="N489" s="7">
        <f>VLOOKUP($C489,'ASDR FY1'!$A:$X,N$14,FALSE)/1000+VLOOKUP($C489,'ASDR FY1'!$A:$X,N$15,FALSE)/1000</f>
        <v>0</v>
      </c>
      <c r="O489" s="8"/>
      <c r="P489" s="7">
        <f>SUM(H489,J489,L489,N489)</f>
        <v>0</v>
      </c>
      <c r="Q489" s="9"/>
      <c r="R489" s="7">
        <f>VLOOKUP($C489,'ASDR FY1'!$A:$X,R$15,FALSE)/1000</f>
        <v>0</v>
      </c>
    </row>
    <row r="490" spans="1:18" x14ac:dyDescent="0.25">
      <c r="A490" s="115">
        <f t="shared" si="12"/>
        <v>13</v>
      </c>
      <c r="B490" s="121"/>
      <c r="C490" s="115">
        <v>30399</v>
      </c>
      <c r="D490" s="110" t="s">
        <v>191</v>
      </c>
      <c r="F490" s="125">
        <f>VLOOKUP($C490,'ASDR FY1'!$A:$X,F$15,FALSE)*100</f>
        <v>3.3000000000000003</v>
      </c>
      <c r="G490" s="112"/>
      <c r="H490" s="7">
        <f>VLOOKUP($C490,'ASDR FY1'!$A:$X,H$15,FALSE)/1000</f>
        <v>4564.93815</v>
      </c>
      <c r="I490" s="8"/>
      <c r="J490" s="7">
        <f>VLOOKUP($C490,'ASDR FY1'!$A:$X,J$15,FALSE)/1000</f>
        <v>55.147880000000001</v>
      </c>
      <c r="K490" s="9"/>
      <c r="L490" s="7">
        <f>VLOOKUP($C490,'ASDR FY1'!$A:$X,L$15,FALSE)/1000</f>
        <v>0</v>
      </c>
      <c r="M490" s="9"/>
      <c r="N490" s="7">
        <f>VLOOKUP($C490,'ASDR FY1'!$A:$X,N$14,FALSE)/1000+VLOOKUP($C490,'ASDR FY1'!$A:$X,N$15,FALSE)/1000</f>
        <v>0</v>
      </c>
      <c r="O490" s="8"/>
      <c r="P490" s="7">
        <f>SUM(H490,J490,L490,N490)</f>
        <v>4620.0860300000004</v>
      </c>
      <c r="Q490" s="9"/>
      <c r="R490" s="7">
        <f>VLOOKUP($C490,'ASDR FY1'!$A:$X,R$15,FALSE)/1000</f>
        <v>4594.6331600000003</v>
      </c>
    </row>
    <row r="491" spans="1:18" ht="13.8" thickBot="1" x14ac:dyDescent="0.3">
      <c r="A491" s="115">
        <f t="shared" si="12"/>
        <v>14</v>
      </c>
      <c r="D491" s="29" t="s">
        <v>192</v>
      </c>
      <c r="E491" s="34"/>
      <c r="F491" s="91"/>
      <c r="G491" s="34"/>
      <c r="H491" s="63">
        <f>SUM(H488:H490)</f>
        <v>526082.09458999999</v>
      </c>
      <c r="I491" s="14"/>
      <c r="J491" s="63">
        <f>SUM(J488:J490)</f>
        <v>76304.481650000002</v>
      </c>
      <c r="K491" s="14"/>
      <c r="L491" s="63">
        <f>SUM(L488:L490)</f>
        <v>-20171.17236</v>
      </c>
      <c r="M491" s="14"/>
      <c r="N491" s="63">
        <f>SUM(N488:N490)</f>
        <v>0</v>
      </c>
      <c r="O491" s="14"/>
      <c r="P491" s="63">
        <f>SUM(P488:P490)</f>
        <v>582215.40388000011</v>
      </c>
      <c r="Q491" s="14"/>
      <c r="R491" s="63">
        <f>SUM(R488:R490)</f>
        <v>545594.78806999989</v>
      </c>
    </row>
    <row r="492" spans="1:18" ht="13.8" thickTop="1" x14ac:dyDescent="0.25">
      <c r="A492" s="115">
        <f t="shared" si="12"/>
        <v>15</v>
      </c>
      <c r="F492" s="126"/>
      <c r="O492" s="112"/>
    </row>
    <row r="493" spans="1:18" x14ac:dyDescent="0.25">
      <c r="A493" s="115">
        <f t="shared" si="12"/>
        <v>16</v>
      </c>
      <c r="D493" s="154" t="s">
        <v>193</v>
      </c>
      <c r="F493" s="126"/>
      <c r="O493" s="112"/>
    </row>
    <row r="494" spans="1:18" x14ac:dyDescent="0.25">
      <c r="A494" s="115">
        <f t="shared" si="12"/>
        <v>17</v>
      </c>
      <c r="C494" s="115">
        <v>31700</v>
      </c>
      <c r="D494" s="110" t="s">
        <v>194</v>
      </c>
      <c r="F494" s="125">
        <f>VLOOKUP($C494,'ASDR FY1'!$A:$X,F$15,FALSE)*100</f>
        <v>2.8</v>
      </c>
      <c r="G494" s="112"/>
      <c r="H494" s="7">
        <f>VLOOKUP($C494,'ASDR FY1'!$A:$X,H$15,FALSE)/1000</f>
        <v>5602.9184799999966</v>
      </c>
      <c r="I494" s="8"/>
      <c r="J494" s="7">
        <f>VLOOKUP($C494,'ASDR FY1'!$A:$X,J$15,FALSE)/1000</f>
        <v>0</v>
      </c>
      <c r="K494" s="9"/>
      <c r="L494" s="7">
        <f>VLOOKUP($C494,'ASDR FY1'!$A:$X,L$15,FALSE)/1000</f>
        <v>0</v>
      </c>
      <c r="M494" s="9"/>
      <c r="N494" s="7">
        <f>VLOOKUP($C494,'ASDR FY1'!$A:$X,N$14,FALSE)/1000+VLOOKUP($C494,'ASDR FY1'!$A:$X,N$15,FALSE)/1000</f>
        <v>0</v>
      </c>
      <c r="O494" s="8"/>
      <c r="P494" s="7">
        <f>SUM(H494,J494,L494,N494)</f>
        <v>5602.9184799999966</v>
      </c>
      <c r="Q494" s="9"/>
      <c r="R494" s="7">
        <f>VLOOKUP($C494,'ASDR FY1'!$A:$X,R$15,FALSE)/1000</f>
        <v>5602.9184800000003</v>
      </c>
    </row>
    <row r="495" spans="1:18" x14ac:dyDescent="0.25">
      <c r="A495" s="115">
        <f t="shared" si="12"/>
        <v>18</v>
      </c>
      <c r="C495" s="115">
        <v>34700</v>
      </c>
      <c r="D495" s="110" t="s">
        <v>195</v>
      </c>
      <c r="F495" s="125">
        <f>VLOOKUP($C495,'ASDR FY1'!$A:$X,F$15,FALSE)*100</f>
        <v>3.4000000000000004</v>
      </c>
      <c r="G495" s="112"/>
      <c r="H495" s="7">
        <f>VLOOKUP($C495,'ASDR FY1'!$A:$X,H$15,FALSE)/1000</f>
        <v>12376.233219999998</v>
      </c>
      <c r="I495" s="8"/>
      <c r="J495" s="7">
        <f>VLOOKUP($C495,'ASDR FY1'!$A:$X,J$15,FALSE)/1000</f>
        <v>0</v>
      </c>
      <c r="K495" s="9"/>
      <c r="L495" s="7">
        <f>VLOOKUP($C495,'ASDR FY1'!$A:$X,L$15,FALSE)/1000</f>
        <v>0</v>
      </c>
      <c r="M495" s="9"/>
      <c r="N495" s="7">
        <f>VLOOKUP($C495,'ASDR FY1'!$A:$X,N$14,FALSE)/1000+VLOOKUP($C495,'ASDR FY1'!$A:$X,N$15,FALSE)/1000</f>
        <v>0</v>
      </c>
      <c r="O495" s="8"/>
      <c r="P495" s="7">
        <f>SUM(H495,J495,L495,N495)</f>
        <v>12376.233219999998</v>
      </c>
      <c r="Q495" s="9"/>
      <c r="R495" s="7">
        <f>VLOOKUP($C495,'ASDR FY1'!$A:$X,R$15,FALSE)/1000</f>
        <v>12376.23322</v>
      </c>
    </row>
    <row r="496" spans="1:18" x14ac:dyDescent="0.25">
      <c r="A496" s="115">
        <f t="shared" si="12"/>
        <v>19</v>
      </c>
      <c r="B496" s="121"/>
      <c r="C496" s="115">
        <v>37400</v>
      </c>
      <c r="D496" s="110" t="s">
        <v>196</v>
      </c>
      <c r="F496" s="125">
        <f>VLOOKUP($C496,'ASDR FY1'!$A:$X,F$15,FALSE)*100</f>
        <v>1.4</v>
      </c>
      <c r="G496" s="112"/>
      <c r="H496" s="7">
        <f>VLOOKUP($C496,'ASDR FY1'!$A:$X,H$15,FALSE)/1000</f>
        <v>7160.1822599999996</v>
      </c>
      <c r="I496" s="8"/>
      <c r="J496" s="7">
        <f>VLOOKUP($C496,'ASDR FY1'!$A:$X,J$15,FALSE)/1000</f>
        <v>0</v>
      </c>
      <c r="K496" s="9"/>
      <c r="L496" s="7">
        <f>VLOOKUP($C496,'ASDR FY1'!$A:$X,L$15,FALSE)/1000</f>
        <v>0</v>
      </c>
      <c r="M496" s="9"/>
      <c r="N496" s="7">
        <f>VLOOKUP($C496,'ASDR FY1'!$A:$X,N$14,FALSE)/1000+VLOOKUP($C496,'ASDR FY1'!$A:$X,N$15,FALSE)/1000</f>
        <v>0</v>
      </c>
      <c r="O496" s="8"/>
      <c r="P496" s="7">
        <f>SUM(H496,J496,L496,N496)</f>
        <v>7160.1822599999996</v>
      </c>
      <c r="Q496" s="9"/>
      <c r="R496" s="7">
        <f>VLOOKUP($C496,'ASDR FY1'!$A:$X,R$15,FALSE)/1000</f>
        <v>7160.1822599999996</v>
      </c>
    </row>
    <row r="497" spans="1:18" x14ac:dyDescent="0.25">
      <c r="A497" s="115">
        <f t="shared" si="12"/>
        <v>20</v>
      </c>
      <c r="B497" s="121"/>
      <c r="C497" s="115">
        <v>39910</v>
      </c>
      <c r="D497" s="110" t="s">
        <v>197</v>
      </c>
      <c r="F497" s="125">
        <f>VLOOKUP($C497,'ASDR FY1'!$A:$X,F$15,FALSE)*100</f>
        <v>4.3</v>
      </c>
      <c r="G497" s="112"/>
      <c r="H497" s="7">
        <f>VLOOKUP($C497,'ASDR FY1'!$A:$X,H$15,FALSE)/1000</f>
        <v>269.18751000000003</v>
      </c>
      <c r="I497" s="8"/>
      <c r="J497" s="7">
        <f>VLOOKUP($C497,'ASDR FY1'!$A:$X,J$15,FALSE)/1000</f>
        <v>0</v>
      </c>
      <c r="K497" s="9"/>
      <c r="L497" s="7">
        <f>VLOOKUP($C497,'ASDR FY1'!$A:$X,L$15,FALSE)/1000</f>
        <v>0</v>
      </c>
      <c r="M497" s="9"/>
      <c r="N497" s="7">
        <f>VLOOKUP($C497,'ASDR FY1'!$A:$X,N$14,FALSE)/1000+VLOOKUP($C497,'ASDR FY1'!$A:$X,N$15,FALSE)/1000</f>
        <v>0</v>
      </c>
      <c r="O497" s="8"/>
      <c r="P497" s="7">
        <f>SUM(H497,J497,L497,N497)</f>
        <v>269.18751000000003</v>
      </c>
      <c r="Q497" s="9"/>
      <c r="R497" s="7">
        <f>VLOOKUP($C497,'ASDR FY1'!$A:$X,R$15,FALSE)/1000</f>
        <v>269.18751000000003</v>
      </c>
    </row>
    <row r="498" spans="1:18" ht="13.8" thickBot="1" x14ac:dyDescent="0.3">
      <c r="A498" s="115">
        <f t="shared" si="12"/>
        <v>21</v>
      </c>
      <c r="B498" s="121"/>
      <c r="D498" s="154" t="s">
        <v>198</v>
      </c>
      <c r="F498" s="126"/>
      <c r="H498" s="155">
        <f>SUM(H494:H497)</f>
        <v>25408.521469999996</v>
      </c>
      <c r="J498" s="155">
        <f>SUM(J494:J497)</f>
        <v>0</v>
      </c>
      <c r="L498" s="155">
        <f>SUM(L494:L497)</f>
        <v>0</v>
      </c>
      <c r="N498" s="155">
        <f>SUM(N494:N497)</f>
        <v>0</v>
      </c>
      <c r="O498" s="112"/>
      <c r="P498" s="155">
        <f>SUM(P494:P497)</f>
        <v>25408.521469999996</v>
      </c>
      <c r="R498" s="155">
        <f>SUM(R494:R497)</f>
        <v>25408.521470000003</v>
      </c>
    </row>
    <row r="499" spans="1:18" ht="13.8" thickTop="1" x14ac:dyDescent="0.25">
      <c r="A499" s="115">
        <f t="shared" si="12"/>
        <v>22</v>
      </c>
      <c r="B499" s="121"/>
      <c r="D499" s="154"/>
      <c r="F499" s="126"/>
      <c r="H499" s="145"/>
      <c r="J499" s="145"/>
      <c r="L499" s="145"/>
      <c r="N499" s="145"/>
      <c r="O499" s="112"/>
      <c r="P499" s="145"/>
      <c r="R499" s="145"/>
    </row>
    <row r="500" spans="1:18" x14ac:dyDescent="0.25">
      <c r="A500" s="115">
        <f t="shared" si="12"/>
        <v>23</v>
      </c>
      <c r="B500" s="121"/>
      <c r="D500" s="110" t="s">
        <v>199</v>
      </c>
      <c r="F500" s="126"/>
      <c r="O500" s="112"/>
    </row>
    <row r="501" spans="1:18" x14ac:dyDescent="0.25">
      <c r="A501" s="115">
        <f t="shared" si="12"/>
        <v>24</v>
      </c>
      <c r="B501" s="121"/>
      <c r="C501" s="115">
        <v>10110</v>
      </c>
      <c r="D501" s="110" t="s">
        <v>200</v>
      </c>
      <c r="F501" s="125">
        <f>VLOOKUP($C501,'ASDR FY1'!$A:$X,F$15,FALSE)*100</f>
        <v>0</v>
      </c>
      <c r="G501" s="112"/>
      <c r="H501" s="7">
        <f>VLOOKUP($C501,'ASDR FY1'!$A:$X,H$15,FALSE)/1000</f>
        <v>3480.0220299999996</v>
      </c>
      <c r="I501" s="8"/>
      <c r="J501" s="7">
        <f>VLOOKUP($C501,'ASDR FY1'!$A:$X,J$15,FALSE)/1000</f>
        <v>0</v>
      </c>
      <c r="K501" s="9"/>
      <c r="L501" s="7">
        <f>VLOOKUP($C501,'ASDR FY1'!$A:$X,L$15,FALSE)/1000</f>
        <v>0</v>
      </c>
      <c r="M501" s="9"/>
      <c r="N501" s="7">
        <f>VLOOKUP($C501,'ASDR FY1'!$A:$X,N$14,FALSE)/1000+VLOOKUP($C501,'ASDR FY1'!$A:$X,N$15,FALSE)/1000</f>
        <v>-453.91592000000009</v>
      </c>
      <c r="O501" s="8"/>
      <c r="P501" s="7">
        <f>SUM(H501,J501,L501,N501)</f>
        <v>3026.1061099999997</v>
      </c>
      <c r="Q501" s="9"/>
      <c r="R501" s="7">
        <f>VLOOKUP($C501,'ASDR FY1'!$A:$X,R$15,FALSE)/1000</f>
        <v>3253.0640699999999</v>
      </c>
    </row>
    <row r="502" spans="1:18" x14ac:dyDescent="0.25">
      <c r="A502" s="115">
        <f t="shared" si="12"/>
        <v>25</v>
      </c>
      <c r="B502" s="121"/>
      <c r="C502" s="115">
        <v>10112</v>
      </c>
      <c r="D502" s="110" t="s">
        <v>201</v>
      </c>
      <c r="F502" s="125">
        <f>VLOOKUP($C502,'ASDR FY1'!$A:$X,F$15,FALSE)*100</f>
        <v>0</v>
      </c>
      <c r="H502" s="7">
        <f>VLOOKUP($C502,'ASDR FY1'!$A:$X,H$15,FALSE)/1000</f>
        <v>20734.592399999998</v>
      </c>
      <c r="I502" s="8"/>
      <c r="J502" s="7">
        <f>VLOOKUP($C502,'ASDR FY1'!$A:$X,J$15,FALSE)/1000</f>
        <v>0</v>
      </c>
      <c r="K502" s="9"/>
      <c r="L502" s="7">
        <f>VLOOKUP($C502,'ASDR FY1'!$A:$X,L$15,FALSE)/1000</f>
        <v>0</v>
      </c>
      <c r="M502" s="9"/>
      <c r="N502" s="7">
        <f>VLOOKUP($C502,'ASDR FY1'!$A:$X,N$14,FALSE)/1000+VLOOKUP($C502,'ASDR FY1'!$A:$X,N$15,FALSE)/1000</f>
        <v>8979.0196899999974</v>
      </c>
      <c r="O502" s="8"/>
      <c r="P502" s="7">
        <f>SUM(H502,J502,L502,N502)</f>
        <v>29713.612089999995</v>
      </c>
      <c r="Q502" s="9"/>
      <c r="R502" s="7">
        <f>VLOOKUP($C502,'ASDR FY1'!$A:$X,R$15,FALSE)/1000</f>
        <v>29924.165069999999</v>
      </c>
    </row>
    <row r="503" spans="1:18" ht="13.8" thickBot="1" x14ac:dyDescent="0.3">
      <c r="A503" s="115">
        <f t="shared" si="12"/>
        <v>26</v>
      </c>
      <c r="B503" s="121"/>
      <c r="C503" s="115"/>
      <c r="D503" s="110" t="s">
        <v>202</v>
      </c>
      <c r="F503" s="125"/>
      <c r="H503" s="63">
        <f>SUM(H501:H502)</f>
        <v>24214.614429999998</v>
      </c>
      <c r="I503" s="14"/>
      <c r="J503" s="63">
        <f>SUM(J501:J502)</f>
        <v>0</v>
      </c>
      <c r="K503" s="14"/>
      <c r="L503" s="63">
        <f>SUM(L501:L502)</f>
        <v>0</v>
      </c>
      <c r="M503" s="14"/>
      <c r="N503" s="63">
        <f>SUM(N501:N502)</f>
        <v>8525.1037699999979</v>
      </c>
      <c r="O503" s="14"/>
      <c r="P503" s="63">
        <f>SUM(P501:P502)</f>
        <v>32739.718199999996</v>
      </c>
      <c r="Q503" s="14"/>
      <c r="R503" s="63">
        <f>SUM(R501:R502)</f>
        <v>33177.229139999996</v>
      </c>
    </row>
    <row r="504" spans="1:18" ht="13.8" thickTop="1" x14ac:dyDescent="0.25">
      <c r="A504" s="115">
        <f t="shared" si="12"/>
        <v>27</v>
      </c>
      <c r="B504" s="121"/>
      <c r="F504" s="126"/>
      <c r="O504" s="112"/>
    </row>
    <row r="505" spans="1:18" ht="13.8" thickBot="1" x14ac:dyDescent="0.3">
      <c r="A505" s="115">
        <f t="shared" si="12"/>
        <v>28</v>
      </c>
      <c r="B505" s="121"/>
      <c r="D505" s="111" t="s">
        <v>203</v>
      </c>
      <c r="F505" s="126"/>
      <c r="H505" s="27">
        <f>H491+H485+H462+H498+H503</f>
        <v>12516769.770559998</v>
      </c>
      <c r="I505" s="4"/>
      <c r="J505" s="27">
        <f>J491+J485+J462+J498+J503</f>
        <v>1282021.4560900002</v>
      </c>
      <c r="K505" s="4"/>
      <c r="L505" s="27">
        <f>L491+L485+L462+L498+L503</f>
        <v>-163593.79278999998</v>
      </c>
      <c r="M505" s="4"/>
      <c r="N505" s="27">
        <f>N491+N485+N462+N498+N503</f>
        <v>8936.1748299999981</v>
      </c>
      <c r="O505" s="12"/>
      <c r="P505" s="27">
        <f>P491+P485+P462+P498+P503</f>
        <v>13644133.608689997</v>
      </c>
      <c r="Q505" s="4"/>
      <c r="R505" s="27">
        <f>R491+R485+R462+R498+R503</f>
        <v>13041856.146419998</v>
      </c>
    </row>
    <row r="506" spans="1:18" ht="13.8" thickTop="1" x14ac:dyDescent="0.25">
      <c r="A506" s="115">
        <f t="shared" si="12"/>
        <v>29</v>
      </c>
      <c r="B506" s="121"/>
      <c r="F506" s="126"/>
      <c r="O506" s="112"/>
    </row>
    <row r="507" spans="1:18" x14ac:dyDescent="0.25">
      <c r="A507" s="115">
        <f t="shared" si="12"/>
        <v>30</v>
      </c>
      <c r="B507" s="121"/>
      <c r="D507" s="136" t="s">
        <v>204</v>
      </c>
      <c r="F507" s="126"/>
      <c r="O507" s="112"/>
    </row>
    <row r="508" spans="1:18" x14ac:dyDescent="0.25">
      <c r="A508" s="115">
        <f t="shared" si="12"/>
        <v>31</v>
      </c>
      <c r="B508" s="121"/>
      <c r="C508" s="115">
        <v>11401</v>
      </c>
      <c r="D508" s="136" t="s">
        <v>205</v>
      </c>
      <c r="F508" s="125">
        <f>VLOOKUP($C508,'ASDR FY1'!$A:$X,F$15,FALSE)*100</f>
        <v>3.0042864005201517</v>
      </c>
      <c r="G508" s="112"/>
      <c r="H508" s="7">
        <f>VLOOKUP($C508,'ASDR FY1'!$A:$X,H$15,FALSE)/1000</f>
        <v>6182.81</v>
      </c>
      <c r="I508" s="8"/>
      <c r="J508" s="7">
        <f>VLOOKUP($C508,'ASDR FY1'!$A:$X,J$15,FALSE)/1000</f>
        <v>0</v>
      </c>
      <c r="K508" s="9"/>
      <c r="L508" s="7">
        <f>VLOOKUP($C508,'ASDR FY1'!$A:$X,L$15,FALSE)/1000</f>
        <v>0</v>
      </c>
      <c r="M508" s="9"/>
      <c r="N508" s="7">
        <f>VLOOKUP($C508,'ASDR FY1'!$A:$X,N$14,FALSE)/1000+VLOOKUP($C508,'ASDR FY1'!$A:$X,N$15,FALSE)/1000</f>
        <v>0</v>
      </c>
      <c r="O508" s="8"/>
      <c r="P508" s="7">
        <f>SUM(H508,J508,L508,N508)</f>
        <v>6182.81</v>
      </c>
      <c r="Q508" s="9"/>
      <c r="R508" s="7">
        <f>VLOOKUP($C508,'ASDR FY1'!$A:$X,R$15,FALSE)/1000</f>
        <v>6182.81</v>
      </c>
    </row>
    <row r="509" spans="1:18" x14ac:dyDescent="0.25">
      <c r="A509" s="115">
        <f t="shared" si="12"/>
        <v>32</v>
      </c>
      <c r="B509" s="121"/>
      <c r="C509" s="115">
        <v>11402</v>
      </c>
      <c r="D509" s="136" t="s">
        <v>206</v>
      </c>
      <c r="F509" s="125">
        <f>VLOOKUP($C509,'ASDR FY1'!$A:$X,F$15,FALSE)*100</f>
        <v>4.3644641465684249</v>
      </c>
      <c r="G509" s="112"/>
      <c r="H509" s="7">
        <f>VLOOKUP($C509,'ASDR FY1'!$A:$X,H$15,FALSE)/1000</f>
        <v>960.04088000000002</v>
      </c>
      <c r="I509" s="8"/>
      <c r="J509" s="7">
        <f>VLOOKUP($C509,'ASDR FY1'!$A:$X,J$15,FALSE)/1000</f>
        <v>0</v>
      </c>
      <c r="K509" s="9"/>
      <c r="L509" s="7">
        <f>VLOOKUP($C509,'ASDR FY1'!$A:$X,L$15,FALSE)/1000</f>
        <v>0</v>
      </c>
      <c r="M509" s="9"/>
      <c r="N509" s="7">
        <f>VLOOKUP($C509,'ASDR FY1'!$A:$X,N$14,FALSE)/1000+VLOOKUP($C509,'ASDR FY1'!$A:$X,N$15,FALSE)/1000</f>
        <v>0</v>
      </c>
      <c r="O509" s="8"/>
      <c r="P509" s="7">
        <f>SUM(H509,J509,L509,N509)</f>
        <v>960.04088000000002</v>
      </c>
      <c r="Q509" s="9"/>
      <c r="R509" s="7">
        <f>VLOOKUP($C509,'ASDR FY1'!$A:$X,R$15,FALSE)/1000</f>
        <v>960.04088000000002</v>
      </c>
    </row>
    <row r="510" spans="1:18" x14ac:dyDescent="0.25">
      <c r="A510" s="115">
        <f t="shared" si="12"/>
        <v>33</v>
      </c>
      <c r="B510" s="121"/>
      <c r="C510" s="115">
        <v>11403</v>
      </c>
      <c r="D510" s="110" t="s">
        <v>207</v>
      </c>
      <c r="F510" s="125">
        <f>VLOOKUP($C510,'ASDR FY1'!$A:$X,F$15,FALSE)*100</f>
        <v>2.64898973564727</v>
      </c>
      <c r="G510" s="112"/>
      <c r="H510" s="7">
        <f>VLOOKUP($C510,'ASDR FY1'!$A:$X,H$15,FALSE)/1000</f>
        <v>341.97188</v>
      </c>
      <c r="I510" s="8"/>
      <c r="J510" s="7">
        <f>VLOOKUP($C510,'ASDR FY1'!$A:$X,J$15,FALSE)/1000</f>
        <v>0</v>
      </c>
      <c r="K510" s="9"/>
      <c r="L510" s="7">
        <f>VLOOKUP($C510,'ASDR FY1'!$A:$X,L$15,FALSE)/1000</f>
        <v>0</v>
      </c>
      <c r="M510" s="9"/>
      <c r="N510" s="7">
        <f>VLOOKUP($C510,'ASDR FY1'!$A:$X,N$14,FALSE)/1000+VLOOKUP($C510,'ASDR FY1'!$A:$X,N$15,FALSE)/1000</f>
        <v>0</v>
      </c>
      <c r="O510" s="8"/>
      <c r="P510" s="7">
        <f>SUM(H510,J510,L510,N510)</f>
        <v>341.97188</v>
      </c>
      <c r="Q510" s="9"/>
      <c r="R510" s="7">
        <f>VLOOKUP($C510,'ASDR FY1'!$A:$X,R$15,FALSE)/1000</f>
        <v>341.97188</v>
      </c>
    </row>
    <row r="511" spans="1:18" ht="13.8" thickBot="1" x14ac:dyDescent="0.3">
      <c r="A511" s="115">
        <f t="shared" si="12"/>
        <v>34</v>
      </c>
      <c r="B511" s="121"/>
      <c r="D511" s="136" t="s">
        <v>208</v>
      </c>
      <c r="F511" s="126"/>
      <c r="H511" s="63">
        <f>SUM(H508:H510)</f>
        <v>7484.82276</v>
      </c>
      <c r="I511" s="14"/>
      <c r="J511" s="63">
        <f>SUM(J508:J510)</f>
        <v>0</v>
      </c>
      <c r="K511" s="14"/>
      <c r="L511" s="63">
        <f>SUM(L508:L510)</f>
        <v>0</v>
      </c>
      <c r="M511" s="14"/>
      <c r="N511" s="63">
        <f>SUM(N508:N510)</f>
        <v>0</v>
      </c>
      <c r="O511" s="14"/>
      <c r="P511" s="63">
        <f>SUM(P508:P510)</f>
        <v>7484.82276</v>
      </c>
      <c r="Q511" s="14"/>
      <c r="R511" s="63">
        <f>SUM(R508:R510)</f>
        <v>7484.82276</v>
      </c>
    </row>
    <row r="512" spans="1:18" ht="13.8" thickTop="1" x14ac:dyDescent="0.25">
      <c r="A512" s="115">
        <f t="shared" si="12"/>
        <v>35</v>
      </c>
      <c r="B512" s="121"/>
      <c r="F512" s="126"/>
      <c r="O512" s="112"/>
    </row>
    <row r="513" spans="1:18" x14ac:dyDescent="0.25">
      <c r="A513" s="115">
        <f t="shared" si="12"/>
        <v>36</v>
      </c>
      <c r="B513" s="121"/>
      <c r="C513" s="115">
        <v>10200</v>
      </c>
      <c r="D513" s="16" t="s">
        <v>209</v>
      </c>
      <c r="F513" s="125">
        <f>VLOOKUP($C513,'ASDR FY1'!$A:$X,F$15,FALSE)*100</f>
        <v>0</v>
      </c>
      <c r="G513" s="112"/>
      <c r="H513" s="7">
        <f>VLOOKUP($C513,'ASDR FY1'!$A:$X,H$15,FALSE)/1000</f>
        <v>411.07105999999999</v>
      </c>
      <c r="I513" s="8"/>
      <c r="J513" s="7">
        <f>VLOOKUP($C513,'ASDR FY1'!$A:$X,J$15,FALSE)/1000</f>
        <v>0</v>
      </c>
      <c r="K513" s="9"/>
      <c r="L513" s="7">
        <f>VLOOKUP($C513,'ASDR FY1'!$A:$X,L$15,FALSE)/1000</f>
        <v>0</v>
      </c>
      <c r="M513" s="9"/>
      <c r="N513" s="7">
        <f>VLOOKUP($C513,'ASDR FY1'!$A:$X,N$14,FALSE)/1000+VLOOKUP($C513,'ASDR FY1'!$A:$X,N$15,FALSE)/1000</f>
        <v>-411.07105999999999</v>
      </c>
      <c r="O513" s="8"/>
      <c r="P513" s="7">
        <f>SUM(H513,J513,L513,N513)</f>
        <v>0</v>
      </c>
      <c r="Q513" s="9"/>
      <c r="R513" s="7">
        <f>VLOOKUP($C513,'ASDR FY1'!$A:$X,R$15,FALSE)/1000</f>
        <v>189.7251</v>
      </c>
    </row>
    <row r="514" spans="1:18" x14ac:dyDescent="0.25">
      <c r="A514" s="115">
        <f t="shared" si="12"/>
        <v>37</v>
      </c>
      <c r="B514" s="121"/>
      <c r="C514" s="115">
        <v>10501</v>
      </c>
      <c r="D514" s="35" t="s">
        <v>210</v>
      </c>
      <c r="F514" s="125">
        <f>VLOOKUP($C514,'ASDR FY1'!$A:$X,F$15,FALSE)*100</f>
        <v>0</v>
      </c>
      <c r="G514" s="112"/>
      <c r="H514" s="7">
        <f>VLOOKUP($C514,'ASDR FY1'!$A:$X,H$15,FALSE)/1000</f>
        <v>58127.610410000001</v>
      </c>
      <c r="I514" s="8"/>
      <c r="J514" s="7">
        <f>VLOOKUP($C514,'ASDR FY1'!$A:$X,J$15,FALSE)/1000</f>
        <v>6134.7891200000004</v>
      </c>
      <c r="K514" s="9"/>
      <c r="L514" s="7">
        <f>VLOOKUP($C514,'ASDR FY1'!$A:$X,L$15,FALSE)/1000</f>
        <v>0</v>
      </c>
      <c r="M514" s="9"/>
      <c r="N514" s="7">
        <f>VLOOKUP($C514,'ASDR FY1'!$A:$X,N$14,FALSE)/1000+VLOOKUP($C514,'ASDR FY1'!$A:$X,N$15,FALSE)/1000</f>
        <v>0</v>
      </c>
      <c r="O514" s="8"/>
      <c r="P514" s="7">
        <f>SUM(H514,J514,L514,N514)</f>
        <v>64262.399530000002</v>
      </c>
      <c r="Q514" s="9"/>
      <c r="R514" s="7">
        <f>VLOOKUP($C514,'ASDR FY1'!$A:$X,R$15,FALSE)/1000</f>
        <v>63405.877289999997</v>
      </c>
    </row>
    <row r="515" spans="1:18" x14ac:dyDescent="0.25">
      <c r="A515" s="115">
        <f t="shared" si="12"/>
        <v>38</v>
      </c>
      <c r="B515" s="121"/>
      <c r="F515" s="126"/>
      <c r="O515" s="112"/>
    </row>
    <row r="516" spans="1:18" x14ac:dyDescent="0.25">
      <c r="A516" s="115">
        <f t="shared" si="12"/>
        <v>39</v>
      </c>
      <c r="B516" s="121"/>
      <c r="C516" s="115">
        <v>10803</v>
      </c>
      <c r="D516" s="110" t="s">
        <v>211</v>
      </c>
      <c r="F516" s="125">
        <f>VLOOKUP($C516,'ASDR FY1'!$A:$X,F$15,FALSE)*100</f>
        <v>0</v>
      </c>
      <c r="G516" s="112"/>
      <c r="H516" s="7">
        <f>VLOOKUP($C516,'ASDR FY1'!$A:$X,H$15,FALSE)/1000-H517</f>
        <v>0</v>
      </c>
      <c r="I516" s="8"/>
      <c r="J516" s="7">
        <f>VLOOKUP($C516,'ASDR FY1'!$A:$X,J$15,FALSE)/1000-J517</f>
        <v>0</v>
      </c>
      <c r="K516" s="9"/>
      <c r="L516" s="7">
        <f>VLOOKUP($C516,'ASDR FY1'!$A:$X,L$15,FALSE)/1000-L517</f>
        <v>0</v>
      </c>
      <c r="M516" s="9"/>
      <c r="N516" s="7">
        <f>VLOOKUP($C516,'ASDR FY1'!$A:$X,N$15,FALSE)/1000-N517</f>
        <v>0</v>
      </c>
      <c r="O516" s="8"/>
      <c r="P516" s="7">
        <f>SUM(H516,J516,L516,N516)</f>
        <v>0</v>
      </c>
      <c r="Q516" s="9"/>
      <c r="R516" s="7">
        <f>VLOOKUP($C516,'ASDR FY1'!$A:$X,R$15,FALSE)/1000-R517</f>
        <v>0</v>
      </c>
    </row>
    <row r="517" spans="1:18" x14ac:dyDescent="0.25">
      <c r="A517" s="115">
        <f t="shared" si="12"/>
        <v>40</v>
      </c>
      <c r="B517" s="121"/>
      <c r="D517" s="110" t="s">
        <v>212</v>
      </c>
      <c r="F517" s="125">
        <v>0</v>
      </c>
      <c r="G517" s="112"/>
      <c r="H517" s="7">
        <v>0</v>
      </c>
      <c r="I517" s="8"/>
      <c r="J517" s="7">
        <v>0</v>
      </c>
      <c r="K517" s="9"/>
      <c r="L517" s="7">
        <v>0</v>
      </c>
      <c r="M517" s="9"/>
      <c r="N517" s="7">
        <v>0</v>
      </c>
      <c r="O517" s="8"/>
      <c r="P517" s="7">
        <f>SUM(H517,J517,L517,N517)</f>
        <v>0</v>
      </c>
      <c r="Q517" s="9"/>
      <c r="R517" s="7">
        <v>0</v>
      </c>
    </row>
    <row r="518" spans="1:18" ht="13.8" thickBot="1" x14ac:dyDescent="0.3">
      <c r="A518" s="115">
        <f t="shared" si="12"/>
        <v>41</v>
      </c>
      <c r="B518" s="121"/>
      <c r="D518" s="110" t="s">
        <v>213</v>
      </c>
      <c r="H518" s="155">
        <f>SUM(H516:H517)</f>
        <v>0</v>
      </c>
      <c r="J518" s="155">
        <f>SUM(J516:J517)</f>
        <v>0</v>
      </c>
      <c r="L518" s="155">
        <f>SUM(L516:L517)</f>
        <v>0</v>
      </c>
      <c r="N518" s="155">
        <f>SUM(N516:N517)</f>
        <v>0</v>
      </c>
      <c r="O518" s="112"/>
      <c r="P518" s="155">
        <f>SUM(P516:P517)</f>
        <v>0</v>
      </c>
      <c r="R518" s="155">
        <f>SUM(R516:R517)</f>
        <v>0</v>
      </c>
    </row>
    <row r="519" spans="1:18" ht="13.8" thickTop="1" x14ac:dyDescent="0.25">
      <c r="A519" s="115">
        <f t="shared" si="12"/>
        <v>42</v>
      </c>
      <c r="B519" s="121"/>
      <c r="O519" s="112"/>
    </row>
    <row r="520" spans="1:18" ht="13.8" thickBot="1" x14ac:dyDescent="0.3">
      <c r="A520" s="115">
        <f t="shared" si="12"/>
        <v>43</v>
      </c>
      <c r="B520" s="121"/>
      <c r="D520" s="127" t="s">
        <v>214</v>
      </c>
      <c r="E520" s="127"/>
      <c r="H520" s="27">
        <f>SUM(H505,H511,H513,H514,H518)</f>
        <v>12582793.274789998</v>
      </c>
      <c r="J520" s="27">
        <f>SUM(J505,J511,J513,J514,J518)</f>
        <v>1288156.2452100003</v>
      </c>
      <c r="K520" s="12"/>
      <c r="L520" s="27">
        <f>SUM(L505,L511,L513,L514,L518)</f>
        <v>-163593.79278999998</v>
      </c>
      <c r="M520" s="12"/>
      <c r="N520" s="27">
        <f>SUM(N505,N511,N513,N514,N518)</f>
        <v>8525.1037699999979</v>
      </c>
      <c r="O520" s="12"/>
      <c r="P520" s="27">
        <f>SUM(P505,P511,P513,P514,P518)</f>
        <v>13715880.830979997</v>
      </c>
      <c r="Q520" s="12"/>
      <c r="R520" s="27">
        <f>SUM(R505,R511,R513,R514,R518)</f>
        <v>13112936.571569998</v>
      </c>
    </row>
    <row r="521" spans="1:18" ht="14.4" thickTop="1" thickBot="1" x14ac:dyDescent="0.3">
      <c r="A521" s="116">
        <f t="shared" si="12"/>
        <v>44</v>
      </c>
      <c r="B521" s="19" t="s">
        <v>59</v>
      </c>
      <c r="C521" s="109"/>
      <c r="D521" s="109"/>
      <c r="E521" s="109"/>
      <c r="F521" s="109"/>
      <c r="G521" s="109"/>
      <c r="H521" s="109"/>
      <c r="I521" s="109"/>
      <c r="J521" s="109"/>
      <c r="K521" s="109"/>
      <c r="L521" s="109"/>
      <c r="M521" s="109"/>
      <c r="N521" s="109"/>
      <c r="O521" s="131"/>
      <c r="P521" s="109"/>
      <c r="Q521" s="109"/>
      <c r="R521" s="109"/>
    </row>
    <row r="522" spans="1:18" x14ac:dyDescent="0.25">
      <c r="A522" s="110" t="str">
        <f>$A$58</f>
        <v>Supporting Schedules:  B-08, B-11</v>
      </c>
      <c r="O522" s="112"/>
      <c r="P522" s="110" t="str">
        <f>$P$58</f>
        <v>Recap Schedules:  B-03, B-06</v>
      </c>
    </row>
    <row r="523" spans="1:18" ht="13.8" thickBot="1" x14ac:dyDescent="0.3">
      <c r="A523" s="109" t="str">
        <f>$A$1</f>
        <v>SCHEDULE B-07</v>
      </c>
      <c r="B523" s="109"/>
      <c r="C523" s="109"/>
      <c r="D523" s="109"/>
      <c r="E523" s="109"/>
      <c r="F523" s="109"/>
      <c r="G523" s="109" t="str">
        <f>$G$1</f>
        <v>PLANT BALANCES BY ACCOUNT AND SUB-ACCOUNT</v>
      </c>
      <c r="H523" s="109"/>
      <c r="I523" s="109"/>
      <c r="J523" s="109"/>
      <c r="K523" s="109"/>
      <c r="L523" s="109"/>
      <c r="M523" s="109"/>
      <c r="N523" s="109"/>
      <c r="O523" s="131"/>
      <c r="P523" s="109"/>
      <c r="Q523" s="109"/>
      <c r="R523" s="109" t="str">
        <f>"Page 20 of " &amp; $P$1</f>
        <v>Page 20 of 30</v>
      </c>
    </row>
    <row r="524" spans="1:18" x14ac:dyDescent="0.25">
      <c r="A524" s="110" t="str">
        <f>$A$2</f>
        <v>FLORIDA PUBLIC SERVICE COMMISSION</v>
      </c>
      <c r="B524" s="132"/>
      <c r="E524" s="112" t="str">
        <f>$E$2</f>
        <v xml:space="preserve">                  EXPLANATION:</v>
      </c>
      <c r="F524" s="110" t="str">
        <f>IF($F$2="","",$F$2)</f>
        <v>Provide the depreciation rate and plant balances for each account or sub-account to which</v>
      </c>
      <c r="J524" s="133"/>
      <c r="K524" s="133"/>
      <c r="M524" s="133"/>
      <c r="N524" s="133"/>
      <c r="O524" s="134"/>
      <c r="P524" s="110" t="str">
        <f>$P$2</f>
        <v>Type of data shown:</v>
      </c>
      <c r="R524" s="111"/>
    </row>
    <row r="525" spans="1:18" x14ac:dyDescent="0.25">
      <c r="B525" s="132"/>
      <c r="F525" s="110" t="str">
        <f>IF($F$3="","",$F$3)</f>
        <v>a separate depreciation rate is prescribed. (Include Amortization/Recovery schedule amounts).</v>
      </c>
      <c r="J525" s="112"/>
      <c r="K525" s="111"/>
      <c r="N525" s="112"/>
      <c r="O525" s="112" t="str">
        <f>IF($O$3=0,"",$O$3)</f>
        <v/>
      </c>
      <c r="P525" s="111" t="str">
        <f>$P$3</f>
        <v>Projected Test Year Ended 12/31/2025</v>
      </c>
      <c r="R525" s="112"/>
    </row>
    <row r="526" spans="1:18" x14ac:dyDescent="0.25">
      <c r="A526" s="110" t="str">
        <f>$A$4</f>
        <v>COMPANY: TAMPA ELECTRIC COMPANY</v>
      </c>
      <c r="B526" s="132"/>
      <c r="F526" s="110" t="str">
        <f>IF(+$F$4="","",$F$4)</f>
        <v/>
      </c>
      <c r="J526" s="112"/>
      <c r="K526" s="111"/>
      <c r="L526" s="112"/>
      <c r="O526" s="112" t="str">
        <f>IF($O$4=0,"",$O$4)</f>
        <v>XX</v>
      </c>
      <c r="P526" s="111" t="str">
        <f>$P$4</f>
        <v>Projected Prior Year Ended 12/31/2024</v>
      </c>
      <c r="R526" s="112"/>
    </row>
    <row r="527" spans="1:18" x14ac:dyDescent="0.25">
      <c r="B527" s="132"/>
      <c r="F527" s="110" t="str">
        <f>IF(+$F$5="","",$F$5)</f>
        <v/>
      </c>
      <c r="J527" s="112"/>
      <c r="K527" s="111"/>
      <c r="L527" s="112"/>
      <c r="O527" s="112" t="str">
        <f>IF($O$5=0,"",$O$5)</f>
        <v/>
      </c>
      <c r="P527" s="111" t="str">
        <f>$P$5</f>
        <v>Historical Prior Year Ended 12/31/2023</v>
      </c>
      <c r="R527" s="112"/>
    </row>
    <row r="528" spans="1:18" x14ac:dyDescent="0.25">
      <c r="J528" s="112"/>
      <c r="K528" s="111"/>
      <c r="L528" s="112"/>
      <c r="O528" s="112"/>
      <c r="P528" s="160" t="s">
        <v>573</v>
      </c>
      <c r="R528" s="112"/>
    </row>
    <row r="529" spans="1:18" x14ac:dyDescent="0.25">
      <c r="J529" s="112"/>
      <c r="K529" s="111"/>
      <c r="L529" s="112"/>
      <c r="O529" s="112"/>
      <c r="P529" s="160" t="s">
        <v>574</v>
      </c>
      <c r="R529" s="112"/>
    </row>
    <row r="530" spans="1:18" ht="13.8" thickBot="1" x14ac:dyDescent="0.3">
      <c r="A530" s="157" t="s">
        <v>572</v>
      </c>
      <c r="B530" s="109"/>
      <c r="C530" s="109"/>
      <c r="D530" s="109"/>
      <c r="E530" s="109"/>
      <c r="F530" s="109"/>
      <c r="G530" s="109"/>
      <c r="H530" s="116" t="s">
        <v>12</v>
      </c>
      <c r="I530" s="109"/>
      <c r="J530" s="109"/>
      <c r="K530" s="109"/>
      <c r="L530" s="109"/>
      <c r="M530" s="109"/>
      <c r="N530" s="109"/>
      <c r="O530" s="131"/>
      <c r="P530" s="161" t="s">
        <v>575</v>
      </c>
      <c r="Q530" s="109"/>
      <c r="R530" s="109"/>
    </row>
    <row r="531" spans="1:18" x14ac:dyDescent="0.25">
      <c r="C531" s="113"/>
      <c r="D531" s="113"/>
      <c r="E531" s="113"/>
      <c r="F531" s="113"/>
      <c r="G531" s="113"/>
      <c r="H531" s="113"/>
      <c r="I531" s="113"/>
      <c r="J531" s="113"/>
      <c r="K531" s="113"/>
      <c r="L531" s="113"/>
      <c r="M531" s="113"/>
      <c r="N531" s="113"/>
      <c r="O531" s="114"/>
      <c r="P531" s="113"/>
      <c r="Q531" s="113"/>
      <c r="R531" s="113"/>
    </row>
    <row r="532" spans="1:18" x14ac:dyDescent="0.25">
      <c r="C532" s="113" t="s">
        <v>13</v>
      </c>
      <c r="D532" s="113" t="s">
        <v>14</v>
      </c>
      <c r="E532" s="113"/>
      <c r="F532" s="113" t="s">
        <v>15</v>
      </c>
      <c r="G532" s="113"/>
      <c r="H532" s="113" t="s">
        <v>16</v>
      </c>
      <c r="I532" s="113"/>
      <c r="J532" s="115" t="s">
        <v>17</v>
      </c>
      <c r="K532" s="115"/>
      <c r="L532" s="113" t="s">
        <v>18</v>
      </c>
      <c r="M532" s="113"/>
      <c r="N532" s="113" t="s">
        <v>19</v>
      </c>
      <c r="O532" s="114"/>
      <c r="P532" s="113" t="s">
        <v>20</v>
      </c>
      <c r="Q532" s="113"/>
      <c r="R532" s="113" t="s">
        <v>21</v>
      </c>
    </row>
    <row r="533" spans="1:18" x14ac:dyDescent="0.25">
      <c r="C533" s="115" t="s">
        <v>22</v>
      </c>
      <c r="D533" s="115" t="s">
        <v>22</v>
      </c>
      <c r="F533" s="115" t="s">
        <v>23</v>
      </c>
      <c r="G533" s="115"/>
      <c r="H533" s="113" t="s">
        <v>24</v>
      </c>
      <c r="I533" s="115"/>
      <c r="J533" s="113" t="s">
        <v>25</v>
      </c>
      <c r="K533" s="115"/>
      <c r="L533" s="115" t="s">
        <v>25</v>
      </c>
      <c r="M533" s="115"/>
      <c r="O533" s="112"/>
      <c r="P533" s="115" t="s">
        <v>24</v>
      </c>
      <c r="R533" s="115"/>
    </row>
    <row r="534" spans="1:18" x14ac:dyDescent="0.25">
      <c r="A534" s="115" t="s">
        <v>26</v>
      </c>
      <c r="B534" s="115"/>
      <c r="C534" s="115" t="s">
        <v>27</v>
      </c>
      <c r="D534" s="115" t="s">
        <v>27</v>
      </c>
      <c r="E534" s="113"/>
      <c r="F534" s="115" t="s">
        <v>28</v>
      </c>
      <c r="G534" s="115"/>
      <c r="H534" s="115" t="s">
        <v>29</v>
      </c>
      <c r="I534" s="115"/>
      <c r="J534" s="115" t="s">
        <v>24</v>
      </c>
      <c r="K534" s="113"/>
      <c r="L534" s="115" t="s">
        <v>24</v>
      </c>
      <c r="M534" s="111"/>
      <c r="N534" s="115" t="s">
        <v>30</v>
      </c>
      <c r="O534" s="114"/>
      <c r="P534" s="113" t="s">
        <v>29</v>
      </c>
      <c r="Q534" s="113"/>
      <c r="R534" s="115" t="s">
        <v>31</v>
      </c>
    </row>
    <row r="535" spans="1:18" ht="13.8" thickBot="1" x14ac:dyDescent="0.3">
      <c r="A535" s="116" t="s">
        <v>32</v>
      </c>
      <c r="B535" s="116"/>
      <c r="C535" s="116" t="s">
        <v>33</v>
      </c>
      <c r="D535" s="116" t="s">
        <v>34</v>
      </c>
      <c r="E535" s="116"/>
      <c r="F535" s="117" t="s">
        <v>35</v>
      </c>
      <c r="G535" s="117"/>
      <c r="H535" s="117" t="s">
        <v>36</v>
      </c>
      <c r="I535" s="118"/>
      <c r="J535" s="117" t="s">
        <v>37</v>
      </c>
      <c r="K535" s="118"/>
      <c r="L535" s="118" t="s">
        <v>38</v>
      </c>
      <c r="M535" s="119"/>
      <c r="N535" s="119" t="s">
        <v>39</v>
      </c>
      <c r="O535" s="120"/>
      <c r="P535" s="119" t="s">
        <v>40</v>
      </c>
      <c r="Q535" s="119"/>
      <c r="R535" s="119" t="s">
        <v>41</v>
      </c>
    </row>
    <row r="536" spans="1:18" x14ac:dyDescent="0.25">
      <c r="A536" s="115">
        <v>1</v>
      </c>
      <c r="B536" s="121"/>
      <c r="O536" s="112"/>
    </row>
    <row r="537" spans="1:18" x14ac:dyDescent="0.25">
      <c r="A537" s="115">
        <f>A536+1</f>
        <v>2</v>
      </c>
      <c r="B537" s="121"/>
      <c r="O537" s="112"/>
    </row>
    <row r="538" spans="1:18" x14ac:dyDescent="0.25">
      <c r="A538" s="115">
        <f t="shared" ref="A538:A579" si="13">A537+1</f>
        <v>3</v>
      </c>
      <c r="B538" s="121"/>
      <c r="D538" s="110" t="s">
        <v>78</v>
      </c>
      <c r="F538" s="4"/>
      <c r="G538" s="4"/>
      <c r="H538" s="4">
        <f>H136</f>
        <v>1439072.4062099992</v>
      </c>
      <c r="I538" s="4"/>
      <c r="J538" s="4">
        <f>J136</f>
        <v>39785.325000000004</v>
      </c>
      <c r="K538" s="4"/>
      <c r="L538" s="4">
        <f>L136</f>
        <v>-8032.77855</v>
      </c>
      <c r="M538" s="4"/>
      <c r="N538" s="4">
        <f>N136</f>
        <v>0</v>
      </c>
      <c r="O538" s="12"/>
      <c r="P538" s="4">
        <f>P136</f>
        <v>1470824.9526599995</v>
      </c>
      <c r="Q538" s="4"/>
      <c r="R538" s="4">
        <f>R136</f>
        <v>1460353.4167499999</v>
      </c>
    </row>
    <row r="539" spans="1:18" x14ac:dyDescent="0.25">
      <c r="A539" s="115">
        <f t="shared" si="13"/>
        <v>4</v>
      </c>
      <c r="B539" s="121"/>
      <c r="F539" s="4"/>
      <c r="G539" s="4"/>
      <c r="H539" s="4"/>
      <c r="I539" s="4"/>
      <c r="J539" s="4"/>
      <c r="K539" s="4"/>
      <c r="L539" s="4"/>
      <c r="M539" s="4"/>
      <c r="N539" s="4"/>
      <c r="O539" s="12"/>
      <c r="P539" s="4"/>
      <c r="Q539" s="4"/>
      <c r="R539" s="4"/>
    </row>
    <row r="540" spans="1:18" x14ac:dyDescent="0.25">
      <c r="A540" s="115">
        <f t="shared" si="13"/>
        <v>5</v>
      </c>
      <c r="B540" s="121"/>
      <c r="D540" s="110" t="s">
        <v>132</v>
      </c>
      <c r="F540" s="4"/>
      <c r="G540" s="4"/>
      <c r="H540" s="10">
        <f>H386</f>
        <v>5080671.2859099992</v>
      </c>
      <c r="I540" s="4"/>
      <c r="J540" s="10">
        <f>J386</f>
        <v>392292.12367999996</v>
      </c>
      <c r="K540" s="4"/>
      <c r="L540" s="10">
        <f>L386</f>
        <v>-38470.354189999991</v>
      </c>
      <c r="M540" s="4"/>
      <c r="N540" s="10">
        <f>N386</f>
        <v>0</v>
      </c>
      <c r="O540" s="12"/>
      <c r="P540" s="10">
        <f>P386</f>
        <v>5434493.0554</v>
      </c>
      <c r="Q540" s="4"/>
      <c r="R540" s="10">
        <f>R386</f>
        <v>5205000.8080900004</v>
      </c>
    </row>
    <row r="541" spans="1:18" x14ac:dyDescent="0.25">
      <c r="A541" s="115">
        <f t="shared" si="13"/>
        <v>6</v>
      </c>
      <c r="B541" s="121"/>
      <c r="F541" s="4"/>
      <c r="G541" s="4"/>
      <c r="H541" s="17"/>
      <c r="I541" s="4"/>
      <c r="J541" s="17"/>
      <c r="K541" s="4"/>
      <c r="L541" s="17"/>
      <c r="M541" s="4"/>
      <c r="N541" s="17"/>
      <c r="O541" s="12"/>
      <c r="P541" s="17"/>
      <c r="Q541" s="4"/>
      <c r="R541" s="17"/>
    </row>
    <row r="542" spans="1:18" ht="13.8" thickBot="1" x14ac:dyDescent="0.3">
      <c r="A542" s="115">
        <f t="shared" si="13"/>
        <v>7</v>
      </c>
      <c r="B542" s="121"/>
      <c r="D542" s="110" t="s">
        <v>133</v>
      </c>
      <c r="F542" s="4"/>
      <c r="G542" s="4"/>
      <c r="H542" s="18">
        <f>SUM(H538,H540)</f>
        <v>6519743.6921199989</v>
      </c>
      <c r="I542" s="4"/>
      <c r="J542" s="18">
        <f>SUM(J538,J540)</f>
        <v>432077.44867999997</v>
      </c>
      <c r="K542" s="4"/>
      <c r="L542" s="18">
        <f>SUM(L538,L540)</f>
        <v>-46503.132739999994</v>
      </c>
      <c r="M542" s="4"/>
      <c r="N542" s="18">
        <f>SUM(N538,N540)</f>
        <v>0</v>
      </c>
      <c r="O542" s="12"/>
      <c r="P542" s="18">
        <f>SUM(P538,P540)</f>
        <v>6905318.008059999</v>
      </c>
      <c r="Q542" s="4"/>
      <c r="R542" s="18">
        <f>SUM(R538,R540)</f>
        <v>6665354.2248400003</v>
      </c>
    </row>
    <row r="543" spans="1:18" ht="13.8" thickTop="1" x14ac:dyDescent="0.25">
      <c r="A543" s="115">
        <f t="shared" si="13"/>
        <v>8</v>
      </c>
      <c r="B543" s="121"/>
      <c r="F543" s="4"/>
      <c r="G543" s="4"/>
      <c r="H543" s="4"/>
      <c r="I543" s="4"/>
      <c r="J543" s="4"/>
      <c r="K543" s="4"/>
      <c r="L543" s="4"/>
      <c r="M543" s="4"/>
      <c r="N543" s="4"/>
      <c r="O543" s="12"/>
      <c r="P543" s="4"/>
      <c r="Q543" s="4"/>
      <c r="R543" s="4"/>
    </row>
    <row r="544" spans="1:18" x14ac:dyDescent="0.25">
      <c r="A544" s="115">
        <f t="shared" si="13"/>
        <v>9</v>
      </c>
      <c r="B544" s="121"/>
      <c r="D544" s="110" t="s">
        <v>146</v>
      </c>
      <c r="F544" s="4"/>
      <c r="G544" s="4"/>
      <c r="H544" s="4">
        <f>H402</f>
        <v>1163664.6736000003</v>
      </c>
      <c r="I544" s="4"/>
      <c r="J544" s="4">
        <f>J402</f>
        <v>116117.15475000002</v>
      </c>
      <c r="K544" s="4"/>
      <c r="L544" s="4">
        <f>L402</f>
        <v>-10073.187089999999</v>
      </c>
      <c r="M544" s="4"/>
      <c r="N544" s="4">
        <f>N402</f>
        <v>0</v>
      </c>
      <c r="O544" s="12"/>
      <c r="P544" s="4">
        <f>P402</f>
        <v>1269708.6412600002</v>
      </c>
      <c r="Q544" s="4"/>
      <c r="R544" s="4">
        <f>R402</f>
        <v>1217383.48358</v>
      </c>
    </row>
    <row r="545" spans="1:18" x14ac:dyDescent="0.25">
      <c r="A545" s="115">
        <f t="shared" si="13"/>
        <v>10</v>
      </c>
      <c r="B545" s="121"/>
      <c r="F545" s="4"/>
      <c r="G545" s="4"/>
      <c r="H545" s="4"/>
      <c r="I545" s="4"/>
      <c r="J545" s="4"/>
      <c r="K545" s="4"/>
      <c r="L545" s="4"/>
      <c r="M545" s="4"/>
      <c r="N545" s="4"/>
      <c r="O545" s="12"/>
      <c r="P545" s="4"/>
      <c r="Q545" s="4"/>
      <c r="R545" s="4"/>
    </row>
    <row r="546" spans="1:18" x14ac:dyDescent="0.25">
      <c r="A546" s="115">
        <f t="shared" si="13"/>
        <v>11</v>
      </c>
      <c r="B546" s="121"/>
      <c r="D546" s="110" t="s">
        <v>157</v>
      </c>
      <c r="F546" s="4"/>
      <c r="G546" s="4"/>
      <c r="H546" s="4">
        <f>H438</f>
        <v>3591766.3358200002</v>
      </c>
      <c r="I546" s="4"/>
      <c r="J546" s="4">
        <f>J438</f>
        <v>566581.49744000006</v>
      </c>
      <c r="K546" s="4"/>
      <c r="L546" s="4">
        <f>L438</f>
        <v>-71391.831919999997</v>
      </c>
      <c r="M546" s="4"/>
      <c r="N546" s="4">
        <f>N438</f>
        <v>411.07105999999999</v>
      </c>
      <c r="O546" s="12"/>
      <c r="P546" s="4">
        <f>P438</f>
        <v>4087367.0723999995</v>
      </c>
      <c r="Q546" s="4"/>
      <c r="R546" s="4">
        <f>R438</f>
        <v>3865296.416819999</v>
      </c>
    </row>
    <row r="547" spans="1:18" x14ac:dyDescent="0.25">
      <c r="A547" s="115">
        <f t="shared" si="13"/>
        <v>12</v>
      </c>
      <c r="B547" s="121"/>
      <c r="F547" s="4"/>
      <c r="G547" s="4"/>
      <c r="H547" s="4"/>
      <c r="I547" s="4"/>
      <c r="J547" s="4"/>
      <c r="K547" s="4"/>
      <c r="L547" s="4"/>
      <c r="M547" s="4"/>
      <c r="N547" s="4"/>
      <c r="O547" s="12"/>
      <c r="P547" s="4"/>
      <c r="Q547" s="4"/>
      <c r="R547" s="4"/>
    </row>
    <row r="548" spans="1:18" x14ac:dyDescent="0.25">
      <c r="A548" s="115">
        <f t="shared" si="13"/>
        <v>13</v>
      </c>
      <c r="B548" s="121"/>
      <c r="D548" s="110" t="s">
        <v>177</v>
      </c>
      <c r="F548" s="4"/>
      <c r="G548" s="4"/>
      <c r="H548" s="10">
        <f>H460</f>
        <v>440499.83883999992</v>
      </c>
      <c r="I548" s="4"/>
      <c r="J548" s="10">
        <f>J460</f>
        <v>84247.232770000002</v>
      </c>
      <c r="K548" s="4"/>
      <c r="L548" s="10">
        <f>L460</f>
        <v>-15454.46868</v>
      </c>
      <c r="M548" s="4"/>
      <c r="N548" s="10">
        <f>N460</f>
        <v>0</v>
      </c>
      <c r="O548" s="12"/>
      <c r="P548" s="10">
        <f>P460</f>
        <v>509292.60292999988</v>
      </c>
      <c r="Q548" s="4"/>
      <c r="R548" s="10">
        <f>R460</f>
        <v>463736.58735999989</v>
      </c>
    </row>
    <row r="549" spans="1:18" x14ac:dyDescent="0.25">
      <c r="A549" s="115">
        <f t="shared" si="13"/>
        <v>14</v>
      </c>
      <c r="B549" s="121"/>
      <c r="F549" s="4"/>
      <c r="G549" s="4"/>
      <c r="H549" s="17"/>
      <c r="I549" s="4"/>
      <c r="J549" s="17"/>
      <c r="K549" s="4"/>
      <c r="L549" s="17"/>
      <c r="M549" s="4"/>
      <c r="N549" s="17"/>
      <c r="O549" s="12"/>
      <c r="P549" s="17"/>
      <c r="Q549" s="4"/>
      <c r="R549" s="17"/>
    </row>
    <row r="550" spans="1:18" ht="13.8" thickBot="1" x14ac:dyDescent="0.3">
      <c r="A550" s="115">
        <f t="shared" si="13"/>
        <v>15</v>
      </c>
      <c r="B550" s="121"/>
      <c r="D550" s="136" t="s">
        <v>178</v>
      </c>
      <c r="F550" s="4"/>
      <c r="G550" s="4"/>
      <c r="H550" s="18">
        <f>SUM(H542,H544,H546,H548)</f>
        <v>11715674.540379999</v>
      </c>
      <c r="I550" s="4"/>
      <c r="J550" s="18">
        <f>SUM(J542,J544,J546,J548)</f>
        <v>1199023.3336400003</v>
      </c>
      <c r="K550" s="4"/>
      <c r="L550" s="18">
        <f>SUM(L542,L544,L546,L548)</f>
        <v>-143422.62042999998</v>
      </c>
      <c r="M550" s="4"/>
      <c r="N550" s="18">
        <f>SUM(N542,N544,N546,N548)</f>
        <v>411.07105999999999</v>
      </c>
      <c r="O550" s="12"/>
      <c r="P550" s="18">
        <f>SUM(P542,P544,P546,P548)</f>
        <v>12771686.324649999</v>
      </c>
      <c r="Q550" s="4"/>
      <c r="R550" s="18">
        <f>SUM(R542,R544,R546,R548)</f>
        <v>12211770.712599998</v>
      </c>
    </row>
    <row r="551" spans="1:18" ht="13.8" thickTop="1" x14ac:dyDescent="0.25">
      <c r="A551" s="115">
        <f t="shared" si="13"/>
        <v>16</v>
      </c>
      <c r="B551" s="121"/>
      <c r="F551" s="4"/>
      <c r="G551" s="4"/>
      <c r="H551" s="4"/>
      <c r="I551" s="4"/>
      <c r="J551" s="4"/>
      <c r="K551" s="4"/>
      <c r="L551" s="4"/>
      <c r="M551" s="4"/>
      <c r="N551" s="4"/>
      <c r="O551" s="12"/>
      <c r="P551" s="4"/>
      <c r="Q551" s="4"/>
      <c r="R551" s="4"/>
    </row>
    <row r="552" spans="1:18" x14ac:dyDescent="0.25">
      <c r="A552" s="115">
        <f t="shared" si="13"/>
        <v>17</v>
      </c>
      <c r="B552" s="121"/>
      <c r="D552" s="29" t="s">
        <v>187</v>
      </c>
      <c r="F552" s="4"/>
      <c r="G552" s="4"/>
      <c r="H552" s="4">
        <f>H485</f>
        <v>225389.99969</v>
      </c>
      <c r="I552" s="4"/>
      <c r="J552" s="4">
        <f>J485</f>
        <v>6693.6408000000001</v>
      </c>
      <c r="K552" s="4"/>
      <c r="L552" s="4">
        <f>L485</f>
        <v>0</v>
      </c>
      <c r="M552" s="4"/>
      <c r="N552" s="4">
        <f>N485</f>
        <v>0</v>
      </c>
      <c r="O552" s="12"/>
      <c r="P552" s="4">
        <f>P485</f>
        <v>232083.64048999999</v>
      </c>
      <c r="Q552" s="4"/>
      <c r="R552" s="4">
        <f>R485</f>
        <v>225904.89514000001</v>
      </c>
    </row>
    <row r="553" spans="1:18" x14ac:dyDescent="0.25">
      <c r="A553" s="115">
        <f t="shared" si="13"/>
        <v>18</v>
      </c>
      <c r="B553" s="121"/>
      <c r="F553" s="4"/>
      <c r="G553" s="4"/>
      <c r="H553" s="4"/>
      <c r="I553" s="4"/>
      <c r="J553" s="4"/>
      <c r="K553" s="4"/>
      <c r="L553" s="4"/>
      <c r="M553" s="4"/>
      <c r="N553" s="4"/>
      <c r="O553" s="12"/>
      <c r="P553" s="4"/>
      <c r="Q553" s="4"/>
      <c r="R553" s="4"/>
    </row>
    <row r="554" spans="1:18" x14ac:dyDescent="0.25">
      <c r="A554" s="115">
        <f t="shared" si="13"/>
        <v>19</v>
      </c>
      <c r="B554" s="121"/>
      <c r="D554" s="136" t="s">
        <v>192</v>
      </c>
      <c r="F554" s="4"/>
      <c r="G554" s="4"/>
      <c r="H554" s="36">
        <f>H491</f>
        <v>526082.09458999999</v>
      </c>
      <c r="I554" s="36"/>
      <c r="J554" s="36">
        <f>J491</f>
        <v>76304.481650000002</v>
      </c>
      <c r="K554" s="36"/>
      <c r="L554" s="36">
        <f>L491</f>
        <v>-20171.17236</v>
      </c>
      <c r="M554" s="36"/>
      <c r="N554" s="36">
        <f>N491</f>
        <v>0</v>
      </c>
      <c r="O554" s="64"/>
      <c r="P554" s="36">
        <f>P491</f>
        <v>582215.40388000011</v>
      </c>
      <c r="Q554" s="36"/>
      <c r="R554" s="36">
        <f>R491</f>
        <v>545594.78806999989</v>
      </c>
    </row>
    <row r="555" spans="1:18" x14ac:dyDescent="0.25">
      <c r="A555" s="115">
        <f t="shared" si="13"/>
        <v>20</v>
      </c>
      <c r="B555" s="121"/>
      <c r="D555" s="136"/>
      <c r="F555" s="4"/>
      <c r="G555" s="4"/>
      <c r="H555" s="36"/>
      <c r="I555" s="4"/>
      <c r="J555" s="36"/>
      <c r="K555" s="4"/>
      <c r="L555" s="36"/>
      <c r="M555" s="4"/>
      <c r="N555" s="36"/>
      <c r="O555" s="12"/>
      <c r="P555" s="36"/>
      <c r="Q555" s="4"/>
      <c r="R555" s="36"/>
    </row>
    <row r="556" spans="1:18" x14ac:dyDescent="0.25">
      <c r="A556" s="115">
        <f t="shared" si="13"/>
        <v>21</v>
      </c>
      <c r="B556" s="121"/>
      <c r="D556" s="154" t="s">
        <v>198</v>
      </c>
      <c r="H556" s="36">
        <f>H498</f>
        <v>25408.521469999996</v>
      </c>
      <c r="I556" s="36"/>
      <c r="J556" s="36">
        <f>J498</f>
        <v>0</v>
      </c>
      <c r="K556" s="36"/>
      <c r="L556" s="36">
        <f>L498</f>
        <v>0</v>
      </c>
      <c r="M556" s="36"/>
      <c r="N556" s="36">
        <f>N498</f>
        <v>0</v>
      </c>
      <c r="O556" s="64"/>
      <c r="P556" s="36">
        <f>P498</f>
        <v>25408.521469999996</v>
      </c>
      <c r="Q556" s="36"/>
      <c r="R556" s="36">
        <f>R498</f>
        <v>25408.521470000003</v>
      </c>
    </row>
    <row r="557" spans="1:18" x14ac:dyDescent="0.25">
      <c r="A557" s="115">
        <f t="shared" si="13"/>
        <v>22</v>
      </c>
      <c r="B557" s="121"/>
      <c r="O557" s="112"/>
    </row>
    <row r="558" spans="1:18" x14ac:dyDescent="0.25">
      <c r="A558" s="115">
        <f t="shared" si="13"/>
        <v>23</v>
      </c>
      <c r="B558" s="121"/>
      <c r="D558" s="110" t="s">
        <v>202</v>
      </c>
      <c r="F558" s="4"/>
      <c r="G558" s="4"/>
      <c r="H558" s="10">
        <f>H503</f>
        <v>24214.614429999998</v>
      </c>
      <c r="I558" s="4"/>
      <c r="J558" s="10">
        <f>J503</f>
        <v>0</v>
      </c>
      <c r="K558" s="4"/>
      <c r="L558" s="10">
        <f>L503</f>
        <v>0</v>
      </c>
      <c r="M558" s="4"/>
      <c r="N558" s="10">
        <f>N503</f>
        <v>8525.1037699999979</v>
      </c>
      <c r="O558" s="12"/>
      <c r="P558" s="10">
        <f>P503</f>
        <v>32739.718199999996</v>
      </c>
      <c r="Q558" s="4"/>
      <c r="R558" s="10">
        <f>R503</f>
        <v>33177.229139999996</v>
      </c>
    </row>
    <row r="559" spans="1:18" x14ac:dyDescent="0.25">
      <c r="A559" s="115">
        <f t="shared" si="13"/>
        <v>24</v>
      </c>
      <c r="B559" s="121"/>
      <c r="H559" s="139"/>
      <c r="J559" s="139"/>
      <c r="L559" s="139"/>
      <c r="N559" s="139"/>
      <c r="O559" s="112"/>
      <c r="P559" s="139"/>
      <c r="R559" s="139"/>
    </row>
    <row r="560" spans="1:18" ht="13.8" thickBot="1" x14ac:dyDescent="0.3">
      <c r="A560" s="115">
        <f t="shared" si="13"/>
        <v>25</v>
      </c>
      <c r="B560" s="121"/>
      <c r="D560" s="111" t="s">
        <v>203</v>
      </c>
      <c r="F560" s="4"/>
      <c r="G560" s="4"/>
      <c r="H560" s="18">
        <f>SUM(H550,H552,H554,H556,H558)</f>
        <v>12516769.770559998</v>
      </c>
      <c r="I560" s="4"/>
      <c r="J560" s="18">
        <f>SUM(J550,J552,J554,J556,J558)</f>
        <v>1282021.4560900002</v>
      </c>
      <c r="K560" s="4"/>
      <c r="L560" s="18">
        <f>SUM(L550,L552,L554,L556,L558)</f>
        <v>-163593.79278999998</v>
      </c>
      <c r="M560" s="4"/>
      <c r="N560" s="18">
        <f>SUM(N550,N552,N554,N556,N558)</f>
        <v>8936.1748299999981</v>
      </c>
      <c r="O560" s="12"/>
      <c r="P560" s="18">
        <f>SUM(P550,P552,P554,P556,P558)</f>
        <v>13644133.608689997</v>
      </c>
      <c r="Q560" s="4"/>
      <c r="R560" s="18">
        <f>SUM(R550,R552,R554,R556,R558)</f>
        <v>13041856.146419998</v>
      </c>
    </row>
    <row r="561" spans="1:18" ht="13.8" thickTop="1" x14ac:dyDescent="0.25">
      <c r="A561" s="115">
        <f t="shared" si="13"/>
        <v>26</v>
      </c>
      <c r="B561" s="121"/>
      <c r="O561" s="112"/>
    </row>
    <row r="562" spans="1:18" x14ac:dyDescent="0.25">
      <c r="A562" s="115">
        <f t="shared" si="13"/>
        <v>27</v>
      </c>
      <c r="B562" s="121"/>
      <c r="D562" s="136" t="s">
        <v>208</v>
      </c>
      <c r="H562" s="156">
        <f>H511</f>
        <v>7484.82276</v>
      </c>
      <c r="J562" s="156">
        <f>J511</f>
        <v>0</v>
      </c>
      <c r="K562" s="4"/>
      <c r="L562" s="156">
        <f>L511</f>
        <v>0</v>
      </c>
      <c r="M562" s="4"/>
      <c r="N562" s="156">
        <f>N511</f>
        <v>0</v>
      </c>
      <c r="O562" s="12"/>
      <c r="P562" s="156">
        <f>P511</f>
        <v>7484.82276</v>
      </c>
      <c r="Q562" s="4"/>
      <c r="R562" s="156">
        <f>R511</f>
        <v>7484.82276</v>
      </c>
    </row>
    <row r="563" spans="1:18" x14ac:dyDescent="0.25">
      <c r="A563" s="115">
        <f t="shared" si="13"/>
        <v>28</v>
      </c>
      <c r="B563" s="121"/>
      <c r="F563" s="4"/>
      <c r="G563" s="4"/>
      <c r="H563" s="4"/>
      <c r="I563" s="4"/>
      <c r="J563" s="4"/>
      <c r="K563" s="4"/>
      <c r="L563" s="4"/>
      <c r="M563" s="4"/>
      <c r="N563" s="4"/>
      <c r="O563" s="12"/>
      <c r="P563" s="4"/>
      <c r="Q563" s="4"/>
      <c r="R563" s="4"/>
    </row>
    <row r="564" spans="1:18" x14ac:dyDescent="0.25">
      <c r="A564" s="115">
        <f t="shared" si="13"/>
        <v>29</v>
      </c>
      <c r="B564" s="121"/>
      <c r="D564" s="16" t="s">
        <v>209</v>
      </c>
      <c r="F564" s="4"/>
      <c r="G564" s="4"/>
      <c r="H564" s="4">
        <f>H513</f>
        <v>411.07105999999999</v>
      </c>
      <c r="I564" s="4"/>
      <c r="J564" s="4">
        <f>J513</f>
        <v>0</v>
      </c>
      <c r="K564" s="4"/>
      <c r="L564" s="4">
        <f>L513</f>
        <v>0</v>
      </c>
      <c r="M564" s="4"/>
      <c r="N564" s="4">
        <f>N513</f>
        <v>-411.07105999999999</v>
      </c>
      <c r="O564" s="12"/>
      <c r="P564" s="4">
        <f>P513</f>
        <v>0</v>
      </c>
      <c r="Q564" s="4"/>
      <c r="R564" s="4">
        <f>R513</f>
        <v>189.7251</v>
      </c>
    </row>
    <row r="565" spans="1:18" x14ac:dyDescent="0.25">
      <c r="A565" s="115">
        <f t="shared" si="13"/>
        <v>30</v>
      </c>
      <c r="B565" s="121"/>
      <c r="O565" s="112"/>
    </row>
    <row r="566" spans="1:18" x14ac:dyDescent="0.25">
      <c r="A566" s="115">
        <f t="shared" si="13"/>
        <v>31</v>
      </c>
      <c r="B566" s="121"/>
      <c r="D566" s="110" t="s">
        <v>210</v>
      </c>
      <c r="H566" s="4">
        <f>H514</f>
        <v>58127.610410000001</v>
      </c>
      <c r="J566" s="4">
        <f>J514</f>
        <v>6134.7891200000004</v>
      </c>
      <c r="L566" s="4">
        <f>L514</f>
        <v>0</v>
      </c>
      <c r="N566" s="4">
        <f>N514</f>
        <v>0</v>
      </c>
      <c r="O566" s="112"/>
      <c r="P566" s="4">
        <f>P514</f>
        <v>64262.399530000002</v>
      </c>
      <c r="R566" s="4">
        <f>R514</f>
        <v>63405.877289999997</v>
      </c>
    </row>
    <row r="567" spans="1:18" x14ac:dyDescent="0.25">
      <c r="A567" s="115">
        <f t="shared" si="13"/>
        <v>32</v>
      </c>
      <c r="B567" s="121"/>
      <c r="O567" s="112"/>
    </row>
    <row r="568" spans="1:18" x14ac:dyDescent="0.25">
      <c r="A568" s="115">
        <f t="shared" si="13"/>
        <v>33</v>
      </c>
      <c r="B568" s="121"/>
      <c r="D568" s="110" t="s">
        <v>213</v>
      </c>
      <c r="H568" s="145">
        <f>H518</f>
        <v>0</v>
      </c>
      <c r="J568" s="145">
        <f>J518</f>
        <v>0</v>
      </c>
      <c r="L568" s="145">
        <f>L518</f>
        <v>0</v>
      </c>
      <c r="N568" s="145">
        <f>N518</f>
        <v>0</v>
      </c>
      <c r="O568" s="112"/>
      <c r="P568" s="145">
        <f>P518</f>
        <v>0</v>
      </c>
      <c r="R568" s="145">
        <f>R518</f>
        <v>0</v>
      </c>
    </row>
    <row r="569" spans="1:18" x14ac:dyDescent="0.25">
      <c r="A569" s="115">
        <f t="shared" si="13"/>
        <v>34</v>
      </c>
      <c r="B569" s="121"/>
      <c r="F569" s="4"/>
      <c r="G569" s="4"/>
      <c r="H569" s="17"/>
      <c r="I569" s="4"/>
      <c r="J569" s="17"/>
      <c r="K569" s="4"/>
      <c r="L569" s="17"/>
      <c r="M569" s="4"/>
      <c r="N569" s="17"/>
      <c r="O569" s="12"/>
      <c r="P569" s="17"/>
      <c r="Q569" s="4"/>
      <c r="R569" s="17"/>
    </row>
    <row r="570" spans="1:18" ht="13.8" thickBot="1" x14ac:dyDescent="0.3">
      <c r="A570" s="115">
        <f t="shared" si="13"/>
        <v>35</v>
      </c>
      <c r="B570" s="121"/>
      <c r="D570" s="110" t="s">
        <v>214</v>
      </c>
      <c r="F570" s="4"/>
      <c r="G570" s="4"/>
      <c r="H570" s="18">
        <f>SUM(H560,H562,H564,H566,H568)</f>
        <v>12582793.274789998</v>
      </c>
      <c r="I570" s="4"/>
      <c r="J570" s="18">
        <f>SUM(J560,J562,J564,J566,J568)</f>
        <v>1288156.2452100003</v>
      </c>
      <c r="L570" s="18">
        <f>SUM(L560,L562,L564,L566,L568)</f>
        <v>-163593.79278999998</v>
      </c>
      <c r="N570" s="18">
        <f>SUM(N560,N562,N564,N566,N568)</f>
        <v>8525.1037699999979</v>
      </c>
      <c r="O570" s="112"/>
      <c r="P570" s="18">
        <f>SUM(P560,P562,P564,P566,P568)</f>
        <v>13715880.830979997</v>
      </c>
      <c r="R570" s="18">
        <f>SUM(R560,R562,R564,R566,R568)</f>
        <v>13112936.571569998</v>
      </c>
    </row>
    <row r="571" spans="1:18" ht="13.8" thickTop="1" x14ac:dyDescent="0.25">
      <c r="A571" s="115">
        <f t="shared" si="13"/>
        <v>36</v>
      </c>
      <c r="B571" s="121"/>
      <c r="H571" s="145">
        <f>H570-H520</f>
        <v>0</v>
      </c>
      <c r="J571" s="145">
        <f>J570-J520</f>
        <v>0</v>
      </c>
      <c r="L571" s="145">
        <f>L570-L520</f>
        <v>0</v>
      </c>
      <c r="N571" s="145">
        <f>N570-N520</f>
        <v>0</v>
      </c>
      <c r="O571" s="112"/>
      <c r="P571" s="145">
        <f>P570-P520</f>
        <v>0</v>
      </c>
      <c r="R571" s="145">
        <f>R570-R520</f>
        <v>0</v>
      </c>
    </row>
    <row r="572" spans="1:18" x14ac:dyDescent="0.25">
      <c r="A572" s="115">
        <f t="shared" si="13"/>
        <v>37</v>
      </c>
      <c r="B572" s="121"/>
      <c r="H572" s="145">
        <f>H570-('ASDR FY1'!C333)/1000</f>
        <v>0</v>
      </c>
      <c r="J572" s="145">
        <f>J570-('ASDR FY1'!D333)/1000</f>
        <v>0</v>
      </c>
      <c r="L572" s="145">
        <f>L570-('ASDR FY1'!E333)/1000</f>
        <v>0</v>
      </c>
      <c r="N572" s="145">
        <f>N570-('ASDR FY1'!F333)/1000-('ASDR FY1'!G333)/1000</f>
        <v>0</v>
      </c>
      <c r="O572" s="112"/>
      <c r="P572" s="145">
        <f>P570-('ASDR FY1'!H333)/1000</f>
        <v>0</v>
      </c>
      <c r="R572" s="145">
        <f>R570-('ASDR FY1'!I333)/1000</f>
        <v>0</v>
      </c>
    </row>
    <row r="573" spans="1:18" x14ac:dyDescent="0.25">
      <c r="A573" s="115">
        <f t="shared" si="13"/>
        <v>38</v>
      </c>
      <c r="B573" s="121"/>
      <c r="O573" s="112"/>
    </row>
    <row r="574" spans="1:18" x14ac:dyDescent="0.25">
      <c r="A574" s="115">
        <f t="shared" si="13"/>
        <v>39</v>
      </c>
      <c r="B574" s="129"/>
      <c r="O574" s="112"/>
    </row>
    <row r="575" spans="1:18" x14ac:dyDescent="0.25">
      <c r="A575" s="115">
        <f t="shared" si="13"/>
        <v>40</v>
      </c>
      <c r="B575" s="129"/>
      <c r="O575" s="112"/>
    </row>
    <row r="576" spans="1:18" x14ac:dyDescent="0.25">
      <c r="A576" s="115">
        <f t="shared" si="13"/>
        <v>41</v>
      </c>
      <c r="B576" s="129"/>
      <c r="O576" s="112"/>
    </row>
    <row r="577" spans="1:18" x14ac:dyDescent="0.25">
      <c r="A577" s="115">
        <f t="shared" si="13"/>
        <v>42</v>
      </c>
      <c r="B577" s="129"/>
      <c r="O577" s="112"/>
    </row>
    <row r="578" spans="1:18" x14ac:dyDescent="0.25">
      <c r="A578" s="115">
        <f t="shared" si="13"/>
        <v>43</v>
      </c>
      <c r="B578" s="129"/>
      <c r="O578" s="112"/>
    </row>
    <row r="579" spans="1:18" ht="13.8" thickBot="1" x14ac:dyDescent="0.3">
      <c r="A579" s="116">
        <f t="shared" si="13"/>
        <v>44</v>
      </c>
      <c r="B579" s="19" t="s">
        <v>59</v>
      </c>
      <c r="C579" s="109"/>
      <c r="D579" s="109"/>
      <c r="E579" s="109"/>
      <c r="F579" s="109"/>
      <c r="G579" s="109"/>
      <c r="H579" s="109"/>
      <c r="I579" s="109"/>
      <c r="J579" s="109"/>
      <c r="K579" s="109"/>
      <c r="L579" s="109"/>
      <c r="M579" s="109"/>
      <c r="N579" s="109"/>
      <c r="O579" s="131"/>
      <c r="P579" s="109"/>
      <c r="Q579" s="109"/>
      <c r="R579" s="109"/>
    </row>
    <row r="580" spans="1:18" x14ac:dyDescent="0.25">
      <c r="A580" s="110" t="str">
        <f>$A$58</f>
        <v>Supporting Schedules:  B-08, B-11</v>
      </c>
      <c r="O580" s="112"/>
      <c r="P580" s="110" t="str">
        <f>$P$58</f>
        <v>Recap Schedules:  B-03, B-06</v>
      </c>
    </row>
  </sheetData>
  <printOptions horizontalCentered="1" verticalCentered="1"/>
  <pageMargins left="0.7" right="0.7" top="0.75" bottom="0.75" header="0.3" footer="0.3"/>
  <pageSetup scale="64" fitToHeight="10" orientation="landscape" blackAndWhite="1" r:id="rId1"/>
  <rowBreaks count="9" manualBreakCount="9">
    <brk id="58" max="16383" man="1"/>
    <brk id="116" max="16383" man="1"/>
    <brk id="174" max="16383" man="1"/>
    <brk id="232" max="16383" man="1"/>
    <brk id="290" max="16383" man="1"/>
    <brk id="348" max="16383" man="1"/>
    <brk id="406" max="16383" man="1"/>
    <brk id="464" max="16383" man="1"/>
    <brk id="522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32940-B5EB-4BAC-8070-D8F9A83041FA}">
  <sheetPr codeName="Sheet41">
    <tabColor theme="6" tint="-0.499984740745262"/>
  </sheetPr>
  <dimension ref="A1:X344"/>
  <sheetViews>
    <sheetView workbookViewId="0">
      <pane ySplit="5" topLeftCell="A324" activePane="bottomLeft" state="frozen"/>
      <selection pane="bottomLeft" activeCell="B350" sqref="B350"/>
    </sheetView>
  </sheetViews>
  <sheetFormatPr defaultColWidth="9.44140625" defaultRowHeight="14.4" x14ac:dyDescent="0.3"/>
  <cols>
    <col min="1" max="1" width="12.44140625" style="94" customWidth="1"/>
    <col min="2" max="2" width="35.5546875" style="94" bestFit="1" customWidth="1"/>
    <col min="3" max="3" width="15.109375" style="94" bestFit="1" customWidth="1"/>
    <col min="4" max="4" width="14.109375" style="94" bestFit="1" customWidth="1"/>
    <col min="5" max="5" width="12.88671875" style="94" bestFit="1" customWidth="1"/>
    <col min="6" max="6" width="9.5546875" style="94" bestFit="1" customWidth="1"/>
    <col min="7" max="7" width="11.5546875" style="94" bestFit="1" customWidth="1"/>
    <col min="8" max="9" width="15.109375" style="94" bestFit="1" customWidth="1"/>
    <col min="10" max="10" width="9.5546875" style="94" bestFit="1" customWidth="1"/>
    <col min="11" max="11" width="14.6640625" style="94" bestFit="1" customWidth="1"/>
    <col min="12" max="12" width="12.6640625" style="94" bestFit="1" customWidth="1"/>
    <col min="13" max="13" width="12.88671875" style="94" bestFit="1" customWidth="1"/>
    <col min="14" max="14" width="13.5546875" style="94" bestFit="1" customWidth="1"/>
    <col min="15" max="15" width="10.6640625" style="94" bestFit="1" customWidth="1"/>
    <col min="16" max="16" width="14.5546875" style="94" bestFit="1" customWidth="1"/>
    <col min="17" max="17" width="11.6640625" style="94" bestFit="1" customWidth="1"/>
    <col min="18" max="18" width="9.5546875" style="94" bestFit="1" customWidth="1"/>
    <col min="19" max="19" width="11.5546875" style="94" bestFit="1" customWidth="1"/>
    <col min="20" max="20" width="9.6640625" style="94" bestFit="1" customWidth="1"/>
    <col min="21" max="22" width="14.6640625" style="94" bestFit="1" customWidth="1"/>
    <col min="23" max="23" width="9.5546875" style="94" bestFit="1" customWidth="1"/>
    <col min="24" max="24" width="7.5546875" style="94" bestFit="1" customWidth="1"/>
    <col min="25" max="16384" width="9.44140625" style="94"/>
  </cols>
  <sheetData>
    <row r="1" spans="1:24" ht="17.399999999999999" x14ac:dyDescent="0.3">
      <c r="A1" s="93" t="s">
        <v>215</v>
      </c>
      <c r="B1" s="93"/>
    </row>
    <row r="2" spans="1:24" x14ac:dyDescent="0.3">
      <c r="C2" s="71"/>
      <c r="D2" s="72" t="s">
        <v>216</v>
      </c>
      <c r="E2" s="73" t="s">
        <v>216</v>
      </c>
      <c r="F2" s="74" t="s">
        <v>216</v>
      </c>
      <c r="G2" s="75" t="s">
        <v>216</v>
      </c>
      <c r="H2" s="71"/>
      <c r="I2" s="71"/>
      <c r="J2" s="76"/>
      <c r="K2" s="71"/>
      <c r="L2" s="72" t="s">
        <v>216</v>
      </c>
      <c r="M2" s="73" t="s">
        <v>216</v>
      </c>
      <c r="N2" s="77" t="s">
        <v>216</v>
      </c>
      <c r="O2" s="77" t="s">
        <v>216</v>
      </c>
      <c r="P2" s="77" t="s">
        <v>216</v>
      </c>
      <c r="Q2" s="77" t="s">
        <v>216</v>
      </c>
      <c r="R2" s="74" t="s">
        <v>216</v>
      </c>
      <c r="S2" s="75" t="s">
        <v>216</v>
      </c>
      <c r="T2" s="75" t="s">
        <v>216</v>
      </c>
      <c r="U2" s="71"/>
      <c r="V2" s="71"/>
      <c r="W2" s="76"/>
      <c r="X2" s="78"/>
    </row>
    <row r="3" spans="1:24" x14ac:dyDescent="0.3">
      <c r="A3" s="79"/>
      <c r="B3" s="79"/>
      <c r="C3" s="71" t="s">
        <v>217</v>
      </c>
      <c r="D3" s="72" t="s">
        <v>217</v>
      </c>
      <c r="E3" s="73" t="s">
        <v>217</v>
      </c>
      <c r="F3" s="74" t="s">
        <v>217</v>
      </c>
      <c r="G3" s="75" t="s">
        <v>217</v>
      </c>
      <c r="H3" s="71" t="s">
        <v>217</v>
      </c>
      <c r="I3" s="71" t="s">
        <v>217</v>
      </c>
      <c r="J3" s="76" t="s">
        <v>24</v>
      </c>
      <c r="K3" s="71" t="s">
        <v>218</v>
      </c>
      <c r="L3" s="72" t="s">
        <v>218</v>
      </c>
      <c r="M3" s="73" t="s">
        <v>218</v>
      </c>
      <c r="N3" s="77" t="s">
        <v>218</v>
      </c>
      <c r="O3" s="77" t="s">
        <v>218</v>
      </c>
      <c r="P3" s="77" t="s">
        <v>218</v>
      </c>
      <c r="Q3" s="77" t="s">
        <v>218</v>
      </c>
      <c r="R3" s="74" t="s">
        <v>217</v>
      </c>
      <c r="S3" s="75" t="s">
        <v>217</v>
      </c>
      <c r="T3" s="75" t="s">
        <v>217</v>
      </c>
      <c r="U3" s="71" t="s">
        <v>217</v>
      </c>
      <c r="V3" s="71" t="s">
        <v>217</v>
      </c>
      <c r="W3" s="76" t="s">
        <v>219</v>
      </c>
      <c r="X3" s="78">
        <v>2022</v>
      </c>
    </row>
    <row r="4" spans="1:24" x14ac:dyDescent="0.3">
      <c r="A4" s="79"/>
      <c r="B4" s="79"/>
      <c r="C4" s="37">
        <v>2023</v>
      </c>
      <c r="D4" s="72" t="s">
        <v>220</v>
      </c>
      <c r="E4" s="73" t="s">
        <v>220</v>
      </c>
      <c r="F4" s="74" t="s">
        <v>220</v>
      </c>
      <c r="G4" s="75" t="s">
        <v>220</v>
      </c>
      <c r="H4" s="37">
        <v>2024</v>
      </c>
      <c r="I4" s="37">
        <v>2024</v>
      </c>
      <c r="J4" s="76" t="s">
        <v>221</v>
      </c>
      <c r="K4" s="37">
        <v>2023</v>
      </c>
      <c r="L4" s="72" t="s">
        <v>220</v>
      </c>
      <c r="M4" s="73" t="s">
        <v>220</v>
      </c>
      <c r="N4" s="77" t="s">
        <v>220</v>
      </c>
      <c r="O4" s="77" t="s">
        <v>220</v>
      </c>
      <c r="P4" s="77" t="s">
        <v>220</v>
      </c>
      <c r="Q4" s="77" t="s">
        <v>220</v>
      </c>
      <c r="R4" s="74" t="s">
        <v>220</v>
      </c>
      <c r="S4" s="75" t="s">
        <v>220</v>
      </c>
      <c r="T4" s="75" t="s">
        <v>220</v>
      </c>
      <c r="U4" s="37">
        <v>2024</v>
      </c>
      <c r="V4" s="37">
        <v>2024</v>
      </c>
      <c r="W4" s="76" t="s">
        <v>221</v>
      </c>
      <c r="X4" s="78" t="s">
        <v>222</v>
      </c>
    </row>
    <row r="5" spans="1:24" x14ac:dyDescent="0.3">
      <c r="A5" s="80" t="s">
        <v>223</v>
      </c>
      <c r="B5" s="81" t="s">
        <v>224</v>
      </c>
      <c r="C5" s="38" t="s">
        <v>221</v>
      </c>
      <c r="D5" s="82" t="s">
        <v>225</v>
      </c>
      <c r="E5" s="83" t="s">
        <v>226</v>
      </c>
      <c r="F5" s="84" t="s">
        <v>227</v>
      </c>
      <c r="G5" s="85" t="s">
        <v>228</v>
      </c>
      <c r="H5" s="80" t="s">
        <v>221</v>
      </c>
      <c r="I5" s="80" t="s">
        <v>229</v>
      </c>
      <c r="J5" s="86" t="s">
        <v>230</v>
      </c>
      <c r="K5" s="39" t="s">
        <v>221</v>
      </c>
      <c r="L5" s="82" t="s">
        <v>231</v>
      </c>
      <c r="M5" s="83" t="s">
        <v>226</v>
      </c>
      <c r="N5" s="87" t="s">
        <v>232</v>
      </c>
      <c r="O5" s="87" t="s">
        <v>233</v>
      </c>
      <c r="P5" s="87" t="s">
        <v>234</v>
      </c>
      <c r="Q5" s="87" t="s">
        <v>235</v>
      </c>
      <c r="R5" s="84" t="s">
        <v>227</v>
      </c>
      <c r="S5" s="85" t="s">
        <v>228</v>
      </c>
      <c r="T5" s="85" t="s">
        <v>236</v>
      </c>
      <c r="U5" s="80" t="s">
        <v>221</v>
      </c>
      <c r="V5" s="80" t="s">
        <v>229</v>
      </c>
      <c r="W5" s="86" t="s">
        <v>230</v>
      </c>
      <c r="X5" s="78" t="s">
        <v>237</v>
      </c>
    </row>
    <row r="6" spans="1:24" x14ac:dyDescent="0.3">
      <c r="A6" s="71">
        <v>10501</v>
      </c>
      <c r="B6" s="88" t="s">
        <v>238</v>
      </c>
      <c r="C6" s="95">
        <v>58127610.410000004</v>
      </c>
      <c r="D6" s="95">
        <v>6134789.1200000001</v>
      </c>
      <c r="E6" s="95">
        <v>0</v>
      </c>
      <c r="F6" s="95">
        <v>0</v>
      </c>
      <c r="G6" s="95">
        <v>0</v>
      </c>
      <c r="H6" s="95">
        <v>64262399.530000001</v>
      </c>
      <c r="I6" s="95">
        <v>63405877.289999999</v>
      </c>
      <c r="J6" s="96">
        <v>0</v>
      </c>
      <c r="K6" s="95">
        <v>0</v>
      </c>
      <c r="L6" s="95">
        <v>0</v>
      </c>
      <c r="M6" s="95">
        <v>0</v>
      </c>
      <c r="N6" s="95">
        <v>0</v>
      </c>
      <c r="O6" s="89"/>
      <c r="P6" s="95">
        <v>0</v>
      </c>
      <c r="Q6" s="89"/>
      <c r="R6" s="95">
        <v>0</v>
      </c>
      <c r="S6" s="95">
        <v>0</v>
      </c>
      <c r="T6" s="95">
        <v>0</v>
      </c>
      <c r="U6" s="95">
        <v>0</v>
      </c>
      <c r="V6" s="95">
        <v>0</v>
      </c>
      <c r="W6" s="96">
        <v>0</v>
      </c>
      <c r="X6" s="99">
        <v>0</v>
      </c>
    </row>
    <row r="7" spans="1:24" x14ac:dyDescent="0.3">
      <c r="A7" s="71">
        <v>10803</v>
      </c>
      <c r="B7" s="88" t="s">
        <v>239</v>
      </c>
      <c r="C7" s="95">
        <v>0</v>
      </c>
      <c r="D7" s="95">
        <v>0</v>
      </c>
      <c r="E7" s="95">
        <v>0</v>
      </c>
      <c r="F7" s="95">
        <v>0</v>
      </c>
      <c r="G7" s="95">
        <v>0</v>
      </c>
      <c r="H7" s="95">
        <v>0</v>
      </c>
      <c r="I7" s="95">
        <v>0</v>
      </c>
      <c r="J7" s="96">
        <v>0</v>
      </c>
      <c r="K7" s="95">
        <v>98041981.229999959</v>
      </c>
      <c r="L7" s="95">
        <v>8014743</v>
      </c>
      <c r="M7" s="95">
        <v>0</v>
      </c>
      <c r="N7" s="95">
        <v>-23656329</v>
      </c>
      <c r="O7" s="89"/>
      <c r="P7" s="95">
        <v>0</v>
      </c>
      <c r="Q7" s="89"/>
      <c r="R7" s="95">
        <v>0</v>
      </c>
      <c r="S7" s="95">
        <v>31236531.609999999</v>
      </c>
      <c r="T7" s="95">
        <v>0</v>
      </c>
      <c r="U7" s="95">
        <v>113636926.83999996</v>
      </c>
      <c r="V7" s="95">
        <v>107372668.3</v>
      </c>
      <c r="W7" s="96">
        <v>0</v>
      </c>
      <c r="X7" s="100">
        <v>0</v>
      </c>
    </row>
    <row r="8" spans="1:24" x14ac:dyDescent="0.3">
      <c r="A8" s="71">
        <v>10804</v>
      </c>
      <c r="B8" s="88" t="s">
        <v>240</v>
      </c>
      <c r="C8" s="95">
        <v>0</v>
      </c>
      <c r="D8" s="95">
        <v>0</v>
      </c>
      <c r="E8" s="95">
        <v>0</v>
      </c>
      <c r="F8" s="95">
        <v>0</v>
      </c>
      <c r="G8" s="95">
        <v>0</v>
      </c>
      <c r="H8" s="95">
        <v>0</v>
      </c>
      <c r="I8" s="95">
        <v>0</v>
      </c>
      <c r="J8" s="96">
        <v>0</v>
      </c>
      <c r="K8" s="95">
        <v>0</v>
      </c>
      <c r="L8" s="95">
        <v>0</v>
      </c>
      <c r="M8" s="95">
        <v>0</v>
      </c>
      <c r="N8" s="95">
        <v>0</v>
      </c>
      <c r="O8" s="89"/>
      <c r="P8" s="95">
        <v>0</v>
      </c>
      <c r="Q8" s="89"/>
      <c r="R8" s="95">
        <v>0</v>
      </c>
      <c r="S8" s="95">
        <v>0</v>
      </c>
      <c r="T8" s="95">
        <v>0</v>
      </c>
      <c r="U8" s="95">
        <v>0</v>
      </c>
      <c r="V8" s="95">
        <v>0</v>
      </c>
      <c r="W8" s="96">
        <v>0</v>
      </c>
      <c r="X8" s="99">
        <v>0</v>
      </c>
    </row>
    <row r="9" spans="1:24" x14ac:dyDescent="0.3">
      <c r="A9" s="71">
        <v>10850</v>
      </c>
      <c r="B9" s="88" t="s">
        <v>241</v>
      </c>
      <c r="C9" s="95">
        <v>0</v>
      </c>
      <c r="D9" s="95">
        <v>0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6">
        <v>0</v>
      </c>
      <c r="K9" s="95">
        <v>0</v>
      </c>
      <c r="L9" s="95">
        <v>0</v>
      </c>
      <c r="M9" s="95">
        <v>0</v>
      </c>
      <c r="N9" s="95">
        <v>0</v>
      </c>
      <c r="O9" s="89"/>
      <c r="P9" s="95">
        <v>0</v>
      </c>
      <c r="Q9" s="89"/>
      <c r="R9" s="95">
        <v>0</v>
      </c>
      <c r="S9" s="95">
        <v>0</v>
      </c>
      <c r="T9" s="95">
        <v>0</v>
      </c>
      <c r="U9" s="95">
        <v>0</v>
      </c>
      <c r="V9" s="95">
        <v>0</v>
      </c>
      <c r="W9" s="96">
        <v>0</v>
      </c>
      <c r="X9" s="99">
        <v>0</v>
      </c>
    </row>
    <row r="10" spans="1:24" x14ac:dyDescent="0.3">
      <c r="A10" s="71">
        <v>10851</v>
      </c>
      <c r="B10" s="88" t="s">
        <v>242</v>
      </c>
      <c r="C10" s="95">
        <v>0</v>
      </c>
      <c r="D10" s="95">
        <v>0</v>
      </c>
      <c r="E10" s="95">
        <v>0</v>
      </c>
      <c r="F10" s="95">
        <v>0</v>
      </c>
      <c r="G10" s="95">
        <v>0</v>
      </c>
      <c r="H10" s="95">
        <v>0</v>
      </c>
      <c r="I10" s="95">
        <v>0</v>
      </c>
      <c r="J10" s="96">
        <v>0</v>
      </c>
      <c r="K10" s="95">
        <v>0</v>
      </c>
      <c r="L10" s="95">
        <v>0</v>
      </c>
      <c r="M10" s="95">
        <v>0</v>
      </c>
      <c r="N10" s="95">
        <v>0</v>
      </c>
      <c r="O10" s="89"/>
      <c r="P10" s="95">
        <v>0</v>
      </c>
      <c r="Q10" s="89"/>
      <c r="R10" s="95">
        <v>0</v>
      </c>
      <c r="S10" s="95">
        <v>0</v>
      </c>
      <c r="T10" s="95">
        <v>0</v>
      </c>
      <c r="U10" s="95">
        <v>0</v>
      </c>
      <c r="V10" s="95">
        <v>0</v>
      </c>
      <c r="W10" s="96">
        <v>0</v>
      </c>
      <c r="X10" s="99">
        <v>0</v>
      </c>
    </row>
    <row r="11" spans="1:24" x14ac:dyDescent="0.3">
      <c r="A11" s="71">
        <v>10852</v>
      </c>
      <c r="B11" s="88" t="s">
        <v>243</v>
      </c>
      <c r="C11" s="95">
        <v>0</v>
      </c>
      <c r="D11" s="95">
        <v>0</v>
      </c>
      <c r="E11" s="95">
        <v>0</v>
      </c>
      <c r="F11" s="95">
        <v>0</v>
      </c>
      <c r="G11" s="95">
        <v>0</v>
      </c>
      <c r="H11" s="95">
        <v>0</v>
      </c>
      <c r="I11" s="95">
        <v>0</v>
      </c>
      <c r="J11" s="96">
        <v>0</v>
      </c>
      <c r="K11" s="95">
        <v>0</v>
      </c>
      <c r="L11" s="95">
        <v>0</v>
      </c>
      <c r="M11" s="95">
        <v>0</v>
      </c>
      <c r="N11" s="95">
        <v>0</v>
      </c>
      <c r="O11" s="89"/>
      <c r="P11" s="95">
        <v>0</v>
      </c>
      <c r="Q11" s="89"/>
      <c r="R11" s="95">
        <v>0</v>
      </c>
      <c r="S11" s="95">
        <v>0</v>
      </c>
      <c r="T11" s="95">
        <v>0</v>
      </c>
      <c r="U11" s="95">
        <v>0</v>
      </c>
      <c r="V11" s="95">
        <v>0</v>
      </c>
      <c r="W11" s="96">
        <v>0</v>
      </c>
      <c r="X11" s="99">
        <v>0</v>
      </c>
    </row>
    <row r="12" spans="1:24" x14ac:dyDescent="0.3">
      <c r="A12" s="71">
        <v>10853</v>
      </c>
      <c r="B12" s="88" t="s">
        <v>244</v>
      </c>
      <c r="C12" s="95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6">
        <v>0</v>
      </c>
      <c r="K12" s="95">
        <v>0</v>
      </c>
      <c r="L12" s="95">
        <v>0</v>
      </c>
      <c r="M12" s="95">
        <v>0</v>
      </c>
      <c r="N12" s="95">
        <v>0</v>
      </c>
      <c r="O12" s="89"/>
      <c r="P12" s="95">
        <v>0</v>
      </c>
      <c r="Q12" s="89"/>
      <c r="R12" s="95">
        <v>0</v>
      </c>
      <c r="S12" s="95">
        <v>0</v>
      </c>
      <c r="T12" s="95">
        <v>0</v>
      </c>
      <c r="U12" s="95">
        <v>0</v>
      </c>
      <c r="V12" s="95">
        <v>0</v>
      </c>
      <c r="W12" s="96">
        <v>0</v>
      </c>
      <c r="X12" s="99">
        <v>0</v>
      </c>
    </row>
    <row r="13" spans="1:24" x14ac:dyDescent="0.3">
      <c r="A13" s="71">
        <v>10854</v>
      </c>
      <c r="B13" s="88" t="s">
        <v>245</v>
      </c>
      <c r="C13" s="95">
        <v>0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6">
        <v>0</v>
      </c>
      <c r="K13" s="95">
        <v>0</v>
      </c>
      <c r="L13" s="95">
        <v>0</v>
      </c>
      <c r="M13" s="95">
        <v>0</v>
      </c>
      <c r="N13" s="95">
        <v>0</v>
      </c>
      <c r="O13" s="89"/>
      <c r="P13" s="95">
        <v>0</v>
      </c>
      <c r="Q13" s="89"/>
      <c r="R13" s="95">
        <v>0</v>
      </c>
      <c r="S13" s="95">
        <v>0</v>
      </c>
      <c r="T13" s="95">
        <v>0</v>
      </c>
      <c r="U13" s="95">
        <v>0</v>
      </c>
      <c r="V13" s="95">
        <v>0</v>
      </c>
      <c r="W13" s="96">
        <v>0</v>
      </c>
      <c r="X13" s="99">
        <v>0</v>
      </c>
    </row>
    <row r="14" spans="1:24" x14ac:dyDescent="0.3">
      <c r="A14" s="71">
        <v>10855</v>
      </c>
      <c r="B14" s="88" t="s">
        <v>246</v>
      </c>
      <c r="C14" s="95">
        <v>0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6">
        <v>0</v>
      </c>
      <c r="K14" s="95">
        <v>0</v>
      </c>
      <c r="L14" s="95">
        <v>0</v>
      </c>
      <c r="M14" s="95">
        <v>0</v>
      </c>
      <c r="N14" s="95">
        <v>0</v>
      </c>
      <c r="O14" s="89"/>
      <c r="P14" s="95">
        <v>0</v>
      </c>
      <c r="Q14" s="89"/>
      <c r="R14" s="95">
        <v>0</v>
      </c>
      <c r="S14" s="95">
        <v>0</v>
      </c>
      <c r="T14" s="95">
        <v>0</v>
      </c>
      <c r="U14" s="95">
        <v>0</v>
      </c>
      <c r="V14" s="95">
        <v>0</v>
      </c>
      <c r="W14" s="96">
        <v>0</v>
      </c>
      <c r="X14" s="99">
        <v>0</v>
      </c>
    </row>
    <row r="15" spans="1:24" x14ac:dyDescent="0.3">
      <c r="A15" s="71">
        <v>10856</v>
      </c>
      <c r="B15" s="88" t="s">
        <v>247</v>
      </c>
      <c r="C15" s="95">
        <v>0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6">
        <v>0</v>
      </c>
      <c r="K15" s="95">
        <v>0</v>
      </c>
      <c r="L15" s="95">
        <v>0</v>
      </c>
      <c r="M15" s="95">
        <v>0</v>
      </c>
      <c r="N15" s="95">
        <v>0</v>
      </c>
      <c r="O15" s="89"/>
      <c r="P15" s="95">
        <v>0</v>
      </c>
      <c r="Q15" s="89"/>
      <c r="R15" s="95">
        <v>0</v>
      </c>
      <c r="S15" s="95">
        <v>0</v>
      </c>
      <c r="T15" s="95">
        <v>0</v>
      </c>
      <c r="U15" s="95">
        <v>0</v>
      </c>
      <c r="V15" s="95">
        <v>0</v>
      </c>
      <c r="W15" s="96">
        <v>0</v>
      </c>
      <c r="X15" s="99">
        <v>0</v>
      </c>
    </row>
    <row r="16" spans="1:24" x14ac:dyDescent="0.3">
      <c r="A16" s="71">
        <v>11401</v>
      </c>
      <c r="B16" s="88" t="s">
        <v>248</v>
      </c>
      <c r="C16" s="95">
        <v>6182810</v>
      </c>
      <c r="D16" s="95">
        <v>0</v>
      </c>
      <c r="E16" s="95">
        <v>0</v>
      </c>
      <c r="F16" s="95">
        <v>0</v>
      </c>
      <c r="G16" s="95">
        <v>0</v>
      </c>
      <c r="H16" s="95">
        <v>6182810</v>
      </c>
      <c r="I16" s="95">
        <v>6182810</v>
      </c>
      <c r="J16" s="96">
        <v>0</v>
      </c>
      <c r="K16" s="95">
        <v>5671999.5399999991</v>
      </c>
      <c r="L16" s="95">
        <v>185749.32</v>
      </c>
      <c r="M16" s="95">
        <v>0</v>
      </c>
      <c r="N16" s="95">
        <v>0</v>
      </c>
      <c r="O16" s="89"/>
      <c r="P16" s="95">
        <v>0</v>
      </c>
      <c r="Q16" s="89"/>
      <c r="R16" s="95">
        <v>0</v>
      </c>
      <c r="S16" s="95">
        <v>0</v>
      </c>
      <c r="T16" s="95">
        <v>0</v>
      </c>
      <c r="U16" s="95">
        <v>5857748.8599999994</v>
      </c>
      <c r="V16" s="95">
        <v>5764874.2000000002</v>
      </c>
      <c r="W16" s="96">
        <v>0</v>
      </c>
      <c r="X16" s="99">
        <v>3.0042864005201519E-2</v>
      </c>
    </row>
    <row r="17" spans="1:24" x14ac:dyDescent="0.3">
      <c r="A17" s="71">
        <v>11402</v>
      </c>
      <c r="B17" s="88" t="s">
        <v>249</v>
      </c>
      <c r="C17" s="95">
        <v>960040.88</v>
      </c>
      <c r="D17" s="95">
        <v>0</v>
      </c>
      <c r="E17" s="95">
        <v>0</v>
      </c>
      <c r="F17" s="95">
        <v>0</v>
      </c>
      <c r="G17" s="95">
        <v>0</v>
      </c>
      <c r="H17" s="95">
        <v>960040.88</v>
      </c>
      <c r="I17" s="95">
        <v>960040.88</v>
      </c>
      <c r="J17" s="96">
        <v>0</v>
      </c>
      <c r="K17" s="95">
        <v>844814.28999999922</v>
      </c>
      <c r="L17" s="95">
        <v>41900.639999999999</v>
      </c>
      <c r="M17" s="95">
        <v>0</v>
      </c>
      <c r="N17" s="95">
        <v>0</v>
      </c>
      <c r="O17" s="89"/>
      <c r="P17" s="95">
        <v>0</v>
      </c>
      <c r="Q17" s="89"/>
      <c r="R17" s="95">
        <v>0</v>
      </c>
      <c r="S17" s="95">
        <v>0</v>
      </c>
      <c r="T17" s="95">
        <v>0</v>
      </c>
      <c r="U17" s="95">
        <v>886714.92999999924</v>
      </c>
      <c r="V17" s="95">
        <v>865764.61</v>
      </c>
      <c r="W17" s="96">
        <v>0</v>
      </c>
      <c r="X17" s="99">
        <v>4.3644641465684253E-2</v>
      </c>
    </row>
    <row r="18" spans="1:24" x14ac:dyDescent="0.3">
      <c r="A18" s="71">
        <v>11403</v>
      </c>
      <c r="B18" s="88" t="s">
        <v>250</v>
      </c>
      <c r="C18" s="95">
        <v>341971.88</v>
      </c>
      <c r="D18" s="95">
        <v>0</v>
      </c>
      <c r="E18" s="95">
        <v>0</v>
      </c>
      <c r="F18" s="95">
        <v>0</v>
      </c>
      <c r="G18" s="95">
        <v>0</v>
      </c>
      <c r="H18" s="95">
        <v>341971.88</v>
      </c>
      <c r="I18" s="95">
        <v>341971.88</v>
      </c>
      <c r="J18" s="96">
        <v>0</v>
      </c>
      <c r="K18" s="95">
        <v>129843.57999999997</v>
      </c>
      <c r="L18" s="95">
        <v>9058.7999999999993</v>
      </c>
      <c r="M18" s="95">
        <v>0</v>
      </c>
      <c r="N18" s="95">
        <v>0</v>
      </c>
      <c r="O18" s="89"/>
      <c r="P18" s="95">
        <v>0</v>
      </c>
      <c r="Q18" s="89"/>
      <c r="R18" s="95">
        <v>0</v>
      </c>
      <c r="S18" s="95">
        <v>0</v>
      </c>
      <c r="T18" s="95">
        <v>0</v>
      </c>
      <c r="U18" s="95">
        <v>138902.37999999998</v>
      </c>
      <c r="V18" s="95">
        <v>134372.98000000001</v>
      </c>
      <c r="W18" s="96">
        <v>0</v>
      </c>
      <c r="X18" s="99">
        <v>2.64898973564727E-2</v>
      </c>
    </row>
    <row r="19" spans="1:24" x14ac:dyDescent="0.3">
      <c r="A19" s="71">
        <v>12100</v>
      </c>
      <c r="B19" s="88" t="s">
        <v>251</v>
      </c>
      <c r="C19" s="95">
        <v>949583.1</v>
      </c>
      <c r="D19" s="95">
        <v>0</v>
      </c>
      <c r="E19" s="95">
        <v>0</v>
      </c>
      <c r="F19" s="95">
        <v>0</v>
      </c>
      <c r="G19" s="95">
        <v>0</v>
      </c>
      <c r="H19" s="95">
        <v>949583.1</v>
      </c>
      <c r="I19" s="95">
        <v>949583.1</v>
      </c>
      <c r="J19" s="96">
        <v>0</v>
      </c>
      <c r="K19" s="95">
        <v>0</v>
      </c>
      <c r="L19" s="95">
        <v>0</v>
      </c>
      <c r="M19" s="95">
        <v>0</v>
      </c>
      <c r="N19" s="95">
        <v>0</v>
      </c>
      <c r="O19" s="89"/>
      <c r="P19" s="95">
        <v>0</v>
      </c>
      <c r="Q19" s="89"/>
      <c r="R19" s="95">
        <v>0</v>
      </c>
      <c r="S19" s="95">
        <v>0</v>
      </c>
      <c r="T19" s="95">
        <v>0</v>
      </c>
      <c r="U19" s="95">
        <v>0</v>
      </c>
      <c r="V19" s="95">
        <v>0</v>
      </c>
      <c r="W19" s="96">
        <v>0</v>
      </c>
      <c r="X19" s="99">
        <v>0</v>
      </c>
    </row>
    <row r="20" spans="1:24" x14ac:dyDescent="0.3">
      <c r="A20" s="71">
        <v>12112</v>
      </c>
      <c r="B20" s="88" t="s">
        <v>252</v>
      </c>
      <c r="C20" s="95">
        <v>13919677.699999994</v>
      </c>
      <c r="D20" s="95">
        <v>1480551.25</v>
      </c>
      <c r="E20" s="95">
        <v>-333896.34999999998</v>
      </c>
      <c r="F20" s="95">
        <v>0</v>
      </c>
      <c r="G20" s="95">
        <v>0</v>
      </c>
      <c r="H20" s="95">
        <v>15066332.599999994</v>
      </c>
      <c r="I20" s="95">
        <v>14527476.390000001</v>
      </c>
      <c r="J20" s="96">
        <v>0</v>
      </c>
      <c r="K20" s="95">
        <v>6730251.8599999994</v>
      </c>
      <c r="L20" s="95">
        <v>970332.31</v>
      </c>
      <c r="M20" s="95">
        <v>-333896.34999999998</v>
      </c>
      <c r="N20" s="95">
        <v>0</v>
      </c>
      <c r="O20" s="89"/>
      <c r="P20" s="95">
        <v>0</v>
      </c>
      <c r="Q20" s="89"/>
      <c r="R20" s="95">
        <v>0</v>
      </c>
      <c r="S20" s="95">
        <v>0</v>
      </c>
      <c r="T20" s="95">
        <v>0</v>
      </c>
      <c r="U20" s="95">
        <v>7366687.8200000003</v>
      </c>
      <c r="V20" s="95">
        <v>7078979.1299999999</v>
      </c>
      <c r="W20" s="96">
        <v>0</v>
      </c>
      <c r="X20" s="99">
        <v>6.7000000000000004E-2</v>
      </c>
    </row>
    <row r="21" spans="1:24" x14ac:dyDescent="0.3">
      <c r="A21" s="71">
        <v>12114</v>
      </c>
      <c r="B21" s="88" t="s">
        <v>253</v>
      </c>
      <c r="C21" s="95">
        <v>710411.48</v>
      </c>
      <c r="D21" s="95">
        <v>77923.75</v>
      </c>
      <c r="E21" s="95">
        <v>0</v>
      </c>
      <c r="F21" s="95">
        <v>0</v>
      </c>
      <c r="G21" s="95">
        <v>0</v>
      </c>
      <c r="H21" s="95">
        <v>788335.23</v>
      </c>
      <c r="I21" s="95">
        <v>749287.54</v>
      </c>
      <c r="J21" s="96">
        <v>0</v>
      </c>
      <c r="K21" s="95">
        <v>399955.77999999997</v>
      </c>
      <c r="L21" s="95">
        <v>49984.25</v>
      </c>
      <c r="M21" s="95">
        <v>0</v>
      </c>
      <c r="N21" s="95">
        <v>0</v>
      </c>
      <c r="O21" s="89"/>
      <c r="P21" s="95">
        <v>0</v>
      </c>
      <c r="Q21" s="89"/>
      <c r="R21" s="95">
        <v>0</v>
      </c>
      <c r="S21" s="95">
        <v>0</v>
      </c>
      <c r="T21" s="95">
        <v>0</v>
      </c>
      <c r="U21" s="95">
        <v>449940.02999999997</v>
      </c>
      <c r="V21" s="95">
        <v>424550.13</v>
      </c>
      <c r="W21" s="96">
        <v>0</v>
      </c>
      <c r="X21" s="99">
        <v>6.7000000000000004E-2</v>
      </c>
    </row>
    <row r="22" spans="1:24" x14ac:dyDescent="0.3">
      <c r="A22" s="71">
        <v>12122</v>
      </c>
      <c r="B22" s="88" t="s">
        <v>254</v>
      </c>
      <c r="C22" s="95">
        <v>0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6">
        <v>0</v>
      </c>
      <c r="K22" s="95">
        <v>0</v>
      </c>
      <c r="L22" s="95">
        <v>0</v>
      </c>
      <c r="M22" s="95">
        <v>0</v>
      </c>
      <c r="N22" s="95">
        <v>0</v>
      </c>
      <c r="O22" s="89"/>
      <c r="P22" s="95">
        <v>0</v>
      </c>
      <c r="Q22" s="89"/>
      <c r="R22" s="95">
        <v>0</v>
      </c>
      <c r="S22" s="95">
        <v>0</v>
      </c>
      <c r="T22" s="95">
        <v>0</v>
      </c>
      <c r="U22" s="95">
        <v>0</v>
      </c>
      <c r="V22" s="95">
        <v>0</v>
      </c>
      <c r="W22" s="96">
        <v>0</v>
      </c>
      <c r="X22" s="99">
        <v>0.2</v>
      </c>
    </row>
    <row r="23" spans="1:24" x14ac:dyDescent="0.3">
      <c r="A23" s="71">
        <v>12126</v>
      </c>
      <c r="B23" s="88" t="s">
        <v>255</v>
      </c>
      <c r="C23" s="95">
        <v>0</v>
      </c>
      <c r="D23" s="95">
        <v>0</v>
      </c>
      <c r="E23" s="95">
        <v>0</v>
      </c>
      <c r="F23" s="95">
        <v>0</v>
      </c>
      <c r="G23" s="95">
        <v>0</v>
      </c>
      <c r="H23" s="95">
        <v>0</v>
      </c>
      <c r="I23" s="95">
        <v>0</v>
      </c>
      <c r="J23" s="96">
        <v>0</v>
      </c>
      <c r="K23" s="95">
        <v>0</v>
      </c>
      <c r="L23" s="95">
        <v>0</v>
      </c>
      <c r="M23" s="95">
        <v>0</v>
      </c>
      <c r="N23" s="95">
        <v>0</v>
      </c>
      <c r="O23" s="89"/>
      <c r="P23" s="95">
        <v>0</v>
      </c>
      <c r="Q23" s="89"/>
      <c r="R23" s="95">
        <v>0</v>
      </c>
      <c r="S23" s="95">
        <v>0</v>
      </c>
      <c r="T23" s="95">
        <v>0</v>
      </c>
      <c r="U23" s="95">
        <v>0</v>
      </c>
      <c r="V23" s="95">
        <v>0</v>
      </c>
      <c r="W23" s="96">
        <v>0</v>
      </c>
      <c r="X23" s="99">
        <v>0.2</v>
      </c>
    </row>
    <row r="24" spans="1:24" x14ac:dyDescent="0.3">
      <c r="A24" s="71">
        <v>12127</v>
      </c>
      <c r="B24" s="88" t="s">
        <v>256</v>
      </c>
      <c r="C24" s="95">
        <v>0</v>
      </c>
      <c r="D24" s="95">
        <v>0</v>
      </c>
      <c r="E24" s="95">
        <v>0</v>
      </c>
      <c r="F24" s="95">
        <v>0</v>
      </c>
      <c r="G24" s="95">
        <v>0</v>
      </c>
      <c r="H24" s="95">
        <v>0</v>
      </c>
      <c r="I24" s="95">
        <v>0</v>
      </c>
      <c r="J24" s="96">
        <v>0</v>
      </c>
      <c r="K24" s="95">
        <v>0</v>
      </c>
      <c r="L24" s="95">
        <v>0</v>
      </c>
      <c r="M24" s="95">
        <v>0</v>
      </c>
      <c r="N24" s="95">
        <v>0</v>
      </c>
      <c r="O24" s="89"/>
      <c r="P24" s="95">
        <v>0</v>
      </c>
      <c r="Q24" s="89"/>
      <c r="R24" s="95">
        <v>0</v>
      </c>
      <c r="S24" s="95">
        <v>0</v>
      </c>
      <c r="T24" s="95">
        <v>0</v>
      </c>
      <c r="U24" s="95">
        <v>0</v>
      </c>
      <c r="V24" s="95">
        <v>0</v>
      </c>
      <c r="W24" s="96">
        <v>0</v>
      </c>
      <c r="X24" s="99">
        <v>0.2</v>
      </c>
    </row>
    <row r="25" spans="1:24" x14ac:dyDescent="0.3">
      <c r="A25" s="71">
        <v>12130</v>
      </c>
      <c r="B25" s="88" t="s">
        <v>257</v>
      </c>
      <c r="C25" s="95">
        <v>0</v>
      </c>
      <c r="D25" s="95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6">
        <v>0</v>
      </c>
      <c r="K25" s="95">
        <v>0</v>
      </c>
      <c r="L25" s="95">
        <v>0</v>
      </c>
      <c r="M25" s="95">
        <v>0</v>
      </c>
      <c r="N25" s="95">
        <v>0</v>
      </c>
      <c r="O25" s="89"/>
      <c r="P25" s="95">
        <v>0</v>
      </c>
      <c r="Q25" s="89"/>
      <c r="R25" s="95">
        <v>0</v>
      </c>
      <c r="S25" s="95">
        <v>0</v>
      </c>
      <c r="T25" s="95">
        <v>0</v>
      </c>
      <c r="U25" s="95">
        <v>0</v>
      </c>
      <c r="V25" s="95">
        <v>0</v>
      </c>
      <c r="W25" s="96">
        <v>0</v>
      </c>
      <c r="X25" s="99">
        <v>0.2</v>
      </c>
    </row>
    <row r="26" spans="1:24" x14ac:dyDescent="0.3">
      <c r="A26" s="71">
        <v>12188</v>
      </c>
      <c r="B26" s="88" t="s">
        <v>258</v>
      </c>
      <c r="C26" s="95">
        <v>378216.81999999995</v>
      </c>
      <c r="D26" s="95">
        <v>2538000.04</v>
      </c>
      <c r="E26" s="95">
        <v>0</v>
      </c>
      <c r="F26" s="95">
        <v>0</v>
      </c>
      <c r="G26" s="95">
        <v>0</v>
      </c>
      <c r="H26" s="95">
        <v>2916216.86</v>
      </c>
      <c r="I26" s="95">
        <v>1299115.68</v>
      </c>
      <c r="J26" s="96">
        <v>0</v>
      </c>
      <c r="K26" s="95">
        <v>14549.21</v>
      </c>
      <c r="L26" s="95">
        <v>38423.82</v>
      </c>
      <c r="M26" s="95">
        <v>0</v>
      </c>
      <c r="N26" s="95">
        <v>0</v>
      </c>
      <c r="O26" s="89"/>
      <c r="P26" s="95">
        <v>0</v>
      </c>
      <c r="Q26" s="89"/>
      <c r="R26" s="95">
        <v>0</v>
      </c>
      <c r="S26" s="95">
        <v>0</v>
      </c>
      <c r="T26" s="95">
        <v>0</v>
      </c>
      <c r="U26" s="95">
        <v>52973.03</v>
      </c>
      <c r="V26" s="95">
        <v>26816.799999999999</v>
      </c>
      <c r="W26" s="96">
        <v>0</v>
      </c>
      <c r="X26" s="99">
        <v>3.3000000000000002E-2</v>
      </c>
    </row>
    <row r="27" spans="1:24" x14ac:dyDescent="0.3">
      <c r="A27" s="71">
        <v>12199</v>
      </c>
      <c r="B27" s="88" t="s">
        <v>259</v>
      </c>
      <c r="C27" s="95">
        <v>0</v>
      </c>
      <c r="D27" s="95">
        <v>0</v>
      </c>
      <c r="E27" s="95">
        <v>0</v>
      </c>
      <c r="F27" s="95">
        <v>0</v>
      </c>
      <c r="G27" s="95">
        <v>0</v>
      </c>
      <c r="H27" s="95">
        <v>0</v>
      </c>
      <c r="I27" s="95">
        <v>0</v>
      </c>
      <c r="J27" s="96">
        <v>0</v>
      </c>
      <c r="K27" s="95">
        <v>0</v>
      </c>
      <c r="L27" s="95">
        <v>0</v>
      </c>
      <c r="M27" s="95">
        <v>0</v>
      </c>
      <c r="N27" s="95">
        <v>0</v>
      </c>
      <c r="O27" s="89"/>
      <c r="P27" s="95">
        <v>0</v>
      </c>
      <c r="Q27" s="89"/>
      <c r="R27" s="95">
        <v>0</v>
      </c>
      <c r="S27" s="95">
        <v>0</v>
      </c>
      <c r="T27" s="95">
        <v>0</v>
      </c>
      <c r="U27" s="95">
        <v>0</v>
      </c>
      <c r="V27" s="95">
        <v>0</v>
      </c>
      <c r="W27" s="96">
        <v>0</v>
      </c>
      <c r="X27" s="99">
        <v>3.3000000000000002E-2</v>
      </c>
    </row>
    <row r="28" spans="1:24" x14ac:dyDescent="0.3">
      <c r="A28" s="71">
        <v>30300</v>
      </c>
      <c r="B28" s="88" t="s">
        <v>260</v>
      </c>
      <c r="C28" s="95">
        <v>0</v>
      </c>
      <c r="D28" s="95">
        <v>0</v>
      </c>
      <c r="E28" s="95">
        <v>0</v>
      </c>
      <c r="F28" s="95">
        <v>0</v>
      </c>
      <c r="G28" s="95">
        <v>0</v>
      </c>
      <c r="H28" s="95">
        <v>0</v>
      </c>
      <c r="I28" s="95">
        <v>0</v>
      </c>
      <c r="J28" s="96">
        <v>0</v>
      </c>
      <c r="K28" s="95">
        <v>0</v>
      </c>
      <c r="L28" s="95">
        <v>0</v>
      </c>
      <c r="M28" s="95">
        <v>0</v>
      </c>
      <c r="N28" s="95">
        <v>0</v>
      </c>
      <c r="O28" s="89"/>
      <c r="P28" s="95">
        <v>0</v>
      </c>
      <c r="Q28" s="89"/>
      <c r="R28" s="95">
        <v>0</v>
      </c>
      <c r="S28" s="95">
        <v>0</v>
      </c>
      <c r="T28" s="95">
        <v>0</v>
      </c>
      <c r="U28" s="95">
        <v>0</v>
      </c>
      <c r="V28" s="95">
        <v>0</v>
      </c>
      <c r="W28" s="96">
        <v>0</v>
      </c>
      <c r="X28" s="99">
        <v>0.2</v>
      </c>
    </row>
    <row r="29" spans="1:24" x14ac:dyDescent="0.3">
      <c r="A29" s="71">
        <v>30301</v>
      </c>
      <c r="B29" s="88" t="s">
        <v>261</v>
      </c>
      <c r="C29" s="95">
        <v>0</v>
      </c>
      <c r="D29" s="95">
        <v>0</v>
      </c>
      <c r="E29" s="95">
        <v>0</v>
      </c>
      <c r="F29" s="95">
        <v>0</v>
      </c>
      <c r="G29" s="95">
        <v>0</v>
      </c>
      <c r="H29" s="95">
        <v>0</v>
      </c>
      <c r="I29" s="95">
        <v>0</v>
      </c>
      <c r="J29" s="96">
        <v>0</v>
      </c>
      <c r="K29" s="95">
        <v>0</v>
      </c>
      <c r="L29" s="95">
        <v>0</v>
      </c>
      <c r="M29" s="95">
        <v>0</v>
      </c>
      <c r="N29" s="95">
        <v>0</v>
      </c>
      <c r="O29" s="89"/>
      <c r="P29" s="95">
        <v>0</v>
      </c>
      <c r="Q29" s="89"/>
      <c r="R29" s="95">
        <v>0</v>
      </c>
      <c r="S29" s="95">
        <v>0</v>
      </c>
      <c r="T29" s="95">
        <v>0</v>
      </c>
      <c r="U29" s="95">
        <v>0</v>
      </c>
      <c r="V29" s="95">
        <v>0</v>
      </c>
      <c r="W29" s="96">
        <v>0</v>
      </c>
      <c r="X29" s="99">
        <v>0.1</v>
      </c>
    </row>
    <row r="30" spans="1:24" x14ac:dyDescent="0.3">
      <c r="A30" s="71">
        <v>30302</v>
      </c>
      <c r="B30" s="88" t="s">
        <v>262</v>
      </c>
      <c r="C30" s="95">
        <v>0</v>
      </c>
      <c r="D30" s="95">
        <v>0</v>
      </c>
      <c r="E30" s="95">
        <v>0</v>
      </c>
      <c r="F30" s="95">
        <v>0</v>
      </c>
      <c r="G30" s="95">
        <v>0</v>
      </c>
      <c r="H30" s="95">
        <v>0</v>
      </c>
      <c r="I30" s="95">
        <v>0</v>
      </c>
      <c r="J30" s="96">
        <v>0</v>
      </c>
      <c r="K30" s="95">
        <v>0</v>
      </c>
      <c r="L30" s="95">
        <v>0</v>
      </c>
      <c r="M30" s="95">
        <v>0</v>
      </c>
      <c r="N30" s="95">
        <v>0</v>
      </c>
      <c r="O30" s="89"/>
      <c r="P30" s="95">
        <v>0</v>
      </c>
      <c r="Q30" s="89"/>
      <c r="R30" s="95">
        <v>0</v>
      </c>
      <c r="S30" s="95">
        <v>0</v>
      </c>
      <c r="T30" s="95">
        <v>0</v>
      </c>
      <c r="U30" s="95">
        <v>0</v>
      </c>
      <c r="V30" s="95">
        <v>0</v>
      </c>
      <c r="W30" s="96">
        <v>0</v>
      </c>
      <c r="X30" s="99">
        <v>0</v>
      </c>
    </row>
    <row r="31" spans="1:24" x14ac:dyDescent="0.3">
      <c r="A31" s="71">
        <v>30315</v>
      </c>
      <c r="B31" s="88" t="s">
        <v>263</v>
      </c>
      <c r="C31" s="95">
        <v>521517156.44000006</v>
      </c>
      <c r="D31" s="95">
        <v>76249333.769999996</v>
      </c>
      <c r="E31" s="95">
        <v>-20171172.359999999</v>
      </c>
      <c r="F31" s="95">
        <v>0</v>
      </c>
      <c r="G31" s="95">
        <v>0</v>
      </c>
      <c r="H31" s="95">
        <v>577595317.85000002</v>
      </c>
      <c r="I31" s="95">
        <v>541000154.90999997</v>
      </c>
      <c r="J31" s="96">
        <v>0</v>
      </c>
      <c r="K31" s="95">
        <v>160556667.04000005</v>
      </c>
      <c r="L31" s="95">
        <v>36042687.369999997</v>
      </c>
      <c r="M31" s="95">
        <v>-20171172.359999999</v>
      </c>
      <c r="N31" s="95">
        <v>0</v>
      </c>
      <c r="O31" s="89"/>
      <c r="P31" s="95">
        <v>0</v>
      </c>
      <c r="Q31" s="89"/>
      <c r="R31" s="95">
        <v>0</v>
      </c>
      <c r="S31" s="95">
        <v>0</v>
      </c>
      <c r="T31" s="95">
        <v>0</v>
      </c>
      <c r="U31" s="95">
        <v>176428182.05000007</v>
      </c>
      <c r="V31" s="95">
        <v>165959021.97999999</v>
      </c>
      <c r="W31" s="96">
        <v>0</v>
      </c>
      <c r="X31" s="99">
        <v>6.7000000000000004E-2</v>
      </c>
    </row>
    <row r="32" spans="1:24" x14ac:dyDescent="0.3">
      <c r="A32" s="71">
        <v>30399</v>
      </c>
      <c r="B32" s="88" t="s">
        <v>264</v>
      </c>
      <c r="C32" s="95">
        <v>4564938.1500000004</v>
      </c>
      <c r="D32" s="95">
        <v>55147.88</v>
      </c>
      <c r="E32" s="95">
        <v>0</v>
      </c>
      <c r="F32" s="95">
        <v>0</v>
      </c>
      <c r="G32" s="95">
        <v>0</v>
      </c>
      <c r="H32" s="95">
        <v>4620086.03</v>
      </c>
      <c r="I32" s="95">
        <v>4594633.16</v>
      </c>
      <c r="J32" s="96">
        <v>0</v>
      </c>
      <c r="K32" s="95">
        <v>211338.31999999998</v>
      </c>
      <c r="L32" s="95">
        <v>151552.92000000001</v>
      </c>
      <c r="M32" s="95">
        <v>0</v>
      </c>
      <c r="N32" s="95">
        <v>0</v>
      </c>
      <c r="O32" s="89"/>
      <c r="P32" s="95">
        <v>0</v>
      </c>
      <c r="Q32" s="89"/>
      <c r="R32" s="95">
        <v>0</v>
      </c>
      <c r="S32" s="95">
        <v>0</v>
      </c>
      <c r="T32" s="95">
        <v>0</v>
      </c>
      <c r="U32" s="95">
        <v>362891.24</v>
      </c>
      <c r="V32" s="95">
        <v>286904.78999999998</v>
      </c>
      <c r="W32" s="96">
        <v>0</v>
      </c>
      <c r="X32" s="99">
        <v>3.3000000000000002E-2</v>
      </c>
    </row>
    <row r="33" spans="1:24" x14ac:dyDescent="0.3">
      <c r="A33" s="71">
        <v>31001</v>
      </c>
      <c r="B33" s="88" t="s">
        <v>265</v>
      </c>
      <c r="C33" s="95">
        <v>0</v>
      </c>
      <c r="D33" s="95">
        <v>0</v>
      </c>
      <c r="E33" s="95">
        <v>0</v>
      </c>
      <c r="F33" s="95">
        <v>0</v>
      </c>
      <c r="G33" s="95">
        <v>0</v>
      </c>
      <c r="H33" s="95">
        <v>0</v>
      </c>
      <c r="I33" s="95">
        <v>0</v>
      </c>
      <c r="J33" s="96">
        <v>0</v>
      </c>
      <c r="K33" s="95">
        <v>0</v>
      </c>
      <c r="L33" s="95">
        <v>0</v>
      </c>
      <c r="M33" s="95">
        <v>0</v>
      </c>
      <c r="N33" s="95">
        <v>0</v>
      </c>
      <c r="O33" s="89"/>
      <c r="P33" s="95">
        <v>0</v>
      </c>
      <c r="Q33" s="89"/>
      <c r="R33" s="95">
        <v>0</v>
      </c>
      <c r="S33" s="95">
        <v>0</v>
      </c>
      <c r="T33" s="95">
        <v>0</v>
      </c>
      <c r="U33" s="95">
        <v>0</v>
      </c>
      <c r="V33" s="95">
        <v>0</v>
      </c>
      <c r="W33" s="96">
        <v>0</v>
      </c>
      <c r="X33" s="99">
        <v>0</v>
      </c>
    </row>
    <row r="34" spans="1:24" x14ac:dyDescent="0.3">
      <c r="A34" s="71">
        <v>31011</v>
      </c>
      <c r="B34" s="88" t="s">
        <v>266</v>
      </c>
      <c r="C34" s="95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6">
        <v>0</v>
      </c>
      <c r="K34" s="95">
        <v>0</v>
      </c>
      <c r="L34" s="95">
        <v>0</v>
      </c>
      <c r="M34" s="95">
        <v>0</v>
      </c>
      <c r="N34" s="95">
        <v>0</v>
      </c>
      <c r="O34" s="89"/>
      <c r="P34" s="95">
        <v>0</v>
      </c>
      <c r="Q34" s="89"/>
      <c r="R34" s="95">
        <v>0</v>
      </c>
      <c r="S34" s="95">
        <v>0</v>
      </c>
      <c r="T34" s="95">
        <v>0</v>
      </c>
      <c r="U34" s="95">
        <v>0</v>
      </c>
      <c r="V34" s="95">
        <v>0</v>
      </c>
      <c r="W34" s="96">
        <v>0</v>
      </c>
      <c r="X34" s="99">
        <v>0</v>
      </c>
    </row>
    <row r="35" spans="1:24" x14ac:dyDescent="0.3">
      <c r="A35" s="71">
        <v>31040</v>
      </c>
      <c r="B35" s="88" t="s">
        <v>267</v>
      </c>
      <c r="C35" s="95">
        <v>6923628.5099999998</v>
      </c>
      <c r="D35" s="95">
        <v>0</v>
      </c>
      <c r="E35" s="95">
        <v>0</v>
      </c>
      <c r="F35" s="95">
        <v>0</v>
      </c>
      <c r="G35" s="95">
        <v>0</v>
      </c>
      <c r="H35" s="95">
        <v>6923628.5099999998</v>
      </c>
      <c r="I35" s="95">
        <v>6923628.5099999998</v>
      </c>
      <c r="J35" s="96">
        <v>0</v>
      </c>
      <c r="K35" s="95">
        <v>0</v>
      </c>
      <c r="L35" s="95">
        <v>0</v>
      </c>
      <c r="M35" s="95">
        <v>0</v>
      </c>
      <c r="N35" s="95">
        <v>0</v>
      </c>
      <c r="O35" s="89"/>
      <c r="P35" s="95">
        <v>0</v>
      </c>
      <c r="Q35" s="89"/>
      <c r="R35" s="95">
        <v>0</v>
      </c>
      <c r="S35" s="95">
        <v>0</v>
      </c>
      <c r="T35" s="95">
        <v>0</v>
      </c>
      <c r="U35" s="95">
        <v>0</v>
      </c>
      <c r="V35" s="95">
        <v>0</v>
      </c>
      <c r="W35" s="96">
        <v>0</v>
      </c>
      <c r="X35" s="99">
        <v>0</v>
      </c>
    </row>
    <row r="36" spans="1:24" x14ac:dyDescent="0.3">
      <c r="A36" s="71">
        <v>31101</v>
      </c>
      <c r="B36" s="88" t="s">
        <v>268</v>
      </c>
      <c r="C36" s="95">
        <v>0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6">
        <v>0</v>
      </c>
      <c r="K36" s="95">
        <v>0</v>
      </c>
      <c r="L36" s="95">
        <v>0</v>
      </c>
      <c r="M36" s="95">
        <v>0</v>
      </c>
      <c r="N36" s="95">
        <v>0</v>
      </c>
      <c r="O36" s="89"/>
      <c r="P36" s="95">
        <v>0</v>
      </c>
      <c r="Q36" s="89"/>
      <c r="R36" s="95">
        <v>0</v>
      </c>
      <c r="S36" s="95">
        <v>0</v>
      </c>
      <c r="T36" s="95">
        <v>0</v>
      </c>
      <c r="U36" s="95">
        <v>0</v>
      </c>
      <c r="V36" s="95">
        <v>0</v>
      </c>
      <c r="W36" s="96">
        <v>0</v>
      </c>
      <c r="X36" s="99">
        <v>0</v>
      </c>
    </row>
    <row r="37" spans="1:24" x14ac:dyDescent="0.3">
      <c r="A37" s="71">
        <v>31130</v>
      </c>
      <c r="B37" s="88" t="s">
        <v>269</v>
      </c>
      <c r="C37" s="95">
        <v>0</v>
      </c>
      <c r="D37" s="95">
        <v>0</v>
      </c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6">
        <v>0</v>
      </c>
      <c r="K37" s="95">
        <v>0</v>
      </c>
      <c r="L37" s="95">
        <v>0</v>
      </c>
      <c r="M37" s="95">
        <v>0</v>
      </c>
      <c r="N37" s="95">
        <v>0</v>
      </c>
      <c r="O37" s="89"/>
      <c r="P37" s="95">
        <v>0</v>
      </c>
      <c r="Q37" s="89"/>
      <c r="R37" s="95">
        <v>0</v>
      </c>
      <c r="S37" s="95">
        <v>0</v>
      </c>
      <c r="T37" s="95">
        <v>0</v>
      </c>
      <c r="U37" s="95">
        <v>0</v>
      </c>
      <c r="V37" s="95">
        <v>0</v>
      </c>
      <c r="W37" s="96">
        <v>0</v>
      </c>
      <c r="X37" s="99">
        <v>0</v>
      </c>
    </row>
    <row r="38" spans="1:24" x14ac:dyDescent="0.3">
      <c r="A38" s="71">
        <v>31131</v>
      </c>
      <c r="B38" s="88" t="s">
        <v>270</v>
      </c>
      <c r="C38" s="95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6">
        <v>0</v>
      </c>
      <c r="K38" s="95">
        <v>0</v>
      </c>
      <c r="L38" s="95">
        <v>0</v>
      </c>
      <c r="M38" s="95">
        <v>0</v>
      </c>
      <c r="N38" s="95">
        <v>0</v>
      </c>
      <c r="O38" s="89"/>
      <c r="P38" s="95">
        <v>0</v>
      </c>
      <c r="Q38" s="89"/>
      <c r="R38" s="95">
        <v>0</v>
      </c>
      <c r="S38" s="95">
        <v>0</v>
      </c>
      <c r="T38" s="95">
        <v>0</v>
      </c>
      <c r="U38" s="95">
        <v>0</v>
      </c>
      <c r="V38" s="95">
        <v>0</v>
      </c>
      <c r="W38" s="96">
        <v>0</v>
      </c>
      <c r="X38" s="99">
        <v>0</v>
      </c>
    </row>
    <row r="39" spans="1:24" x14ac:dyDescent="0.3">
      <c r="A39" s="71">
        <v>31132</v>
      </c>
      <c r="B39" s="88" t="s">
        <v>271</v>
      </c>
      <c r="C39" s="95">
        <v>0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6">
        <v>0</v>
      </c>
      <c r="K39" s="95">
        <v>0</v>
      </c>
      <c r="L39" s="95">
        <v>0</v>
      </c>
      <c r="M39" s="95">
        <v>0</v>
      </c>
      <c r="N39" s="95">
        <v>0</v>
      </c>
      <c r="O39" s="89"/>
      <c r="P39" s="95">
        <v>0</v>
      </c>
      <c r="Q39" s="89"/>
      <c r="R39" s="95">
        <v>0</v>
      </c>
      <c r="S39" s="95">
        <v>0</v>
      </c>
      <c r="T39" s="95">
        <v>0</v>
      </c>
      <c r="U39" s="95">
        <v>0</v>
      </c>
      <c r="V39" s="95">
        <v>0</v>
      </c>
      <c r="W39" s="96">
        <v>0</v>
      </c>
      <c r="X39" s="99">
        <v>0</v>
      </c>
    </row>
    <row r="40" spans="1:24" x14ac:dyDescent="0.3">
      <c r="A40" s="71">
        <v>31133</v>
      </c>
      <c r="B40" s="88" t="s">
        <v>272</v>
      </c>
      <c r="C40" s="95">
        <v>0</v>
      </c>
      <c r="D40" s="95">
        <v>0</v>
      </c>
      <c r="E40" s="95">
        <v>0</v>
      </c>
      <c r="F40" s="95">
        <v>0</v>
      </c>
      <c r="G40" s="95">
        <v>0</v>
      </c>
      <c r="H40" s="95">
        <v>0</v>
      </c>
      <c r="I40" s="95">
        <v>0</v>
      </c>
      <c r="J40" s="96">
        <v>0</v>
      </c>
      <c r="K40" s="95">
        <v>0</v>
      </c>
      <c r="L40" s="95">
        <v>0</v>
      </c>
      <c r="M40" s="95">
        <v>0</v>
      </c>
      <c r="N40" s="95">
        <v>0</v>
      </c>
      <c r="O40" s="89"/>
      <c r="P40" s="95">
        <v>0</v>
      </c>
      <c r="Q40" s="89"/>
      <c r="R40" s="95">
        <v>0</v>
      </c>
      <c r="S40" s="95">
        <v>0</v>
      </c>
      <c r="T40" s="95">
        <v>0</v>
      </c>
      <c r="U40" s="95">
        <v>0</v>
      </c>
      <c r="V40" s="95">
        <v>0</v>
      </c>
      <c r="W40" s="96">
        <v>0</v>
      </c>
      <c r="X40" s="99">
        <v>0</v>
      </c>
    </row>
    <row r="41" spans="1:24" x14ac:dyDescent="0.3">
      <c r="A41" s="71">
        <v>31134</v>
      </c>
      <c r="B41" s="88" t="s">
        <v>273</v>
      </c>
      <c r="C41" s="95">
        <v>0</v>
      </c>
      <c r="D41" s="95">
        <v>0</v>
      </c>
      <c r="E41" s="95">
        <v>0</v>
      </c>
      <c r="F41" s="95">
        <v>0</v>
      </c>
      <c r="G41" s="95">
        <v>0</v>
      </c>
      <c r="H41" s="95">
        <v>0</v>
      </c>
      <c r="I41" s="95">
        <v>0</v>
      </c>
      <c r="J41" s="96">
        <v>0</v>
      </c>
      <c r="K41" s="95">
        <v>0</v>
      </c>
      <c r="L41" s="95">
        <v>0</v>
      </c>
      <c r="M41" s="95">
        <v>0</v>
      </c>
      <c r="N41" s="95">
        <v>0</v>
      </c>
      <c r="O41" s="89"/>
      <c r="P41" s="95">
        <v>0</v>
      </c>
      <c r="Q41" s="89"/>
      <c r="R41" s="95">
        <v>0</v>
      </c>
      <c r="S41" s="95">
        <v>0</v>
      </c>
      <c r="T41" s="95">
        <v>0</v>
      </c>
      <c r="U41" s="95">
        <v>0</v>
      </c>
      <c r="V41" s="95">
        <v>0</v>
      </c>
      <c r="W41" s="96">
        <v>0</v>
      </c>
      <c r="X41" s="99">
        <v>0</v>
      </c>
    </row>
    <row r="42" spans="1:24" x14ac:dyDescent="0.3">
      <c r="A42" s="71">
        <v>31140</v>
      </c>
      <c r="B42" s="88" t="s">
        <v>274</v>
      </c>
      <c r="C42" s="95">
        <v>280889857.93000007</v>
      </c>
      <c r="D42" s="95">
        <v>92084.22</v>
      </c>
      <c r="E42" s="95">
        <v>-18416.849999999999</v>
      </c>
      <c r="F42" s="95">
        <v>0</v>
      </c>
      <c r="G42" s="95">
        <v>0</v>
      </c>
      <c r="H42" s="95">
        <v>280963525.30000007</v>
      </c>
      <c r="I42" s="95">
        <v>280953931.18000001</v>
      </c>
      <c r="J42" s="96">
        <v>0</v>
      </c>
      <c r="K42" s="95">
        <v>63452371.900000051</v>
      </c>
      <c r="L42" s="95">
        <v>8990500.2400000002</v>
      </c>
      <c r="M42" s="95">
        <v>-18416.849999999999</v>
      </c>
      <c r="N42" s="95">
        <v>0</v>
      </c>
      <c r="O42" s="89"/>
      <c r="P42" s="95">
        <v>0</v>
      </c>
      <c r="Q42" s="89"/>
      <c r="R42" s="95">
        <v>0</v>
      </c>
      <c r="S42" s="95">
        <v>0</v>
      </c>
      <c r="T42" s="95">
        <v>0</v>
      </c>
      <c r="U42" s="95">
        <v>72424455.290000051</v>
      </c>
      <c r="V42" s="95">
        <v>67931473.459999993</v>
      </c>
      <c r="W42" s="96">
        <v>0</v>
      </c>
      <c r="X42" s="99">
        <v>3.2000000000000001E-2</v>
      </c>
    </row>
    <row r="43" spans="1:24" x14ac:dyDescent="0.3">
      <c r="A43" s="71">
        <v>31141</v>
      </c>
      <c r="B43" s="88" t="s">
        <v>275</v>
      </c>
      <c r="C43" s="95">
        <v>0</v>
      </c>
      <c r="D43" s="95">
        <v>0</v>
      </c>
      <c r="E43" s="95">
        <v>0</v>
      </c>
      <c r="F43" s="95">
        <v>0</v>
      </c>
      <c r="G43" s="95">
        <v>0</v>
      </c>
      <c r="H43" s="95">
        <v>0</v>
      </c>
      <c r="I43" s="95">
        <v>0</v>
      </c>
      <c r="J43" s="96">
        <v>0</v>
      </c>
      <c r="K43" s="95">
        <v>0</v>
      </c>
      <c r="L43" s="95">
        <v>0</v>
      </c>
      <c r="M43" s="95">
        <v>0</v>
      </c>
      <c r="N43" s="95">
        <v>0</v>
      </c>
      <c r="O43" s="89"/>
      <c r="P43" s="95">
        <v>0</v>
      </c>
      <c r="Q43" s="89"/>
      <c r="R43" s="95">
        <v>0</v>
      </c>
      <c r="S43" s="95">
        <v>0</v>
      </c>
      <c r="T43" s="95">
        <v>0</v>
      </c>
      <c r="U43" s="95">
        <v>0</v>
      </c>
      <c r="V43" s="95">
        <v>0</v>
      </c>
      <c r="W43" s="96">
        <v>0</v>
      </c>
      <c r="X43" s="99">
        <v>2.8000000000000001E-2</v>
      </c>
    </row>
    <row r="44" spans="1:24" x14ac:dyDescent="0.3">
      <c r="A44" s="71">
        <v>31142</v>
      </c>
      <c r="B44" s="88" t="s">
        <v>276</v>
      </c>
      <c r="C44" s="95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6">
        <v>0</v>
      </c>
      <c r="K44" s="95">
        <v>0</v>
      </c>
      <c r="L44" s="95">
        <v>0</v>
      </c>
      <c r="M44" s="95">
        <v>0</v>
      </c>
      <c r="N44" s="95">
        <v>0</v>
      </c>
      <c r="O44" s="89"/>
      <c r="P44" s="95">
        <v>0</v>
      </c>
      <c r="Q44" s="89"/>
      <c r="R44" s="95">
        <v>0</v>
      </c>
      <c r="S44" s="95">
        <v>0</v>
      </c>
      <c r="T44" s="95">
        <v>0</v>
      </c>
      <c r="U44" s="95">
        <v>0</v>
      </c>
      <c r="V44" s="95">
        <v>0</v>
      </c>
      <c r="W44" s="96">
        <v>0</v>
      </c>
      <c r="X44" s="99">
        <v>2.5999999999999999E-2</v>
      </c>
    </row>
    <row r="45" spans="1:24" x14ac:dyDescent="0.3">
      <c r="A45" s="71">
        <v>31143</v>
      </c>
      <c r="B45" s="88" t="s">
        <v>277</v>
      </c>
      <c r="C45" s="95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6">
        <v>0</v>
      </c>
      <c r="K45" s="95">
        <v>0</v>
      </c>
      <c r="L45" s="95">
        <v>0</v>
      </c>
      <c r="M45" s="95">
        <v>0</v>
      </c>
      <c r="N45" s="95">
        <v>0</v>
      </c>
      <c r="O45" s="89"/>
      <c r="P45" s="95">
        <v>0</v>
      </c>
      <c r="Q45" s="89"/>
      <c r="R45" s="95">
        <v>0</v>
      </c>
      <c r="S45" s="95">
        <v>0</v>
      </c>
      <c r="T45" s="95">
        <v>0</v>
      </c>
      <c r="U45" s="95">
        <v>0</v>
      </c>
      <c r="V45" s="95">
        <v>0</v>
      </c>
      <c r="W45" s="96">
        <v>0</v>
      </c>
      <c r="X45" s="99">
        <v>1.7000000000000001E-2</v>
      </c>
    </row>
    <row r="46" spans="1:24" x14ac:dyDescent="0.3">
      <c r="A46" s="71">
        <v>31144</v>
      </c>
      <c r="B46" s="88" t="s">
        <v>278</v>
      </c>
      <c r="C46" s="95">
        <v>55902236.31000001</v>
      </c>
      <c r="D46" s="95">
        <v>0</v>
      </c>
      <c r="E46" s="95">
        <v>0</v>
      </c>
      <c r="F46" s="95">
        <v>0</v>
      </c>
      <c r="G46" s="95">
        <v>0</v>
      </c>
      <c r="H46" s="95">
        <v>55902236.31000001</v>
      </c>
      <c r="I46" s="95">
        <v>55902236.310000002</v>
      </c>
      <c r="J46" s="96">
        <v>0</v>
      </c>
      <c r="K46" s="95">
        <v>26257331.230000004</v>
      </c>
      <c r="L46" s="95">
        <v>1062142.44</v>
      </c>
      <c r="M46" s="95">
        <v>0</v>
      </c>
      <c r="N46" s="95">
        <v>0</v>
      </c>
      <c r="O46" s="89"/>
      <c r="P46" s="95">
        <v>0</v>
      </c>
      <c r="Q46" s="89"/>
      <c r="R46" s="95">
        <v>0</v>
      </c>
      <c r="S46" s="95">
        <v>0</v>
      </c>
      <c r="T46" s="95">
        <v>0</v>
      </c>
      <c r="U46" s="95">
        <v>27319473.670000006</v>
      </c>
      <c r="V46" s="95">
        <v>26788402.449999999</v>
      </c>
      <c r="W46" s="96">
        <v>0</v>
      </c>
      <c r="X46" s="99">
        <v>1.9E-2</v>
      </c>
    </row>
    <row r="47" spans="1:24" x14ac:dyDescent="0.3">
      <c r="A47" s="71">
        <v>31145</v>
      </c>
      <c r="B47" s="88" t="s">
        <v>279</v>
      </c>
      <c r="C47" s="95">
        <v>31998663.150000006</v>
      </c>
      <c r="D47" s="95">
        <v>0</v>
      </c>
      <c r="E47" s="95">
        <v>0</v>
      </c>
      <c r="F47" s="95">
        <v>0</v>
      </c>
      <c r="G47" s="95">
        <v>0</v>
      </c>
      <c r="H47" s="95">
        <v>31998663.150000006</v>
      </c>
      <c r="I47" s="95">
        <v>31998663.149999999</v>
      </c>
      <c r="J47" s="96">
        <v>0</v>
      </c>
      <c r="K47" s="95">
        <v>18701078.620000008</v>
      </c>
      <c r="L47" s="95">
        <v>671971.92</v>
      </c>
      <c r="M47" s="95">
        <v>0</v>
      </c>
      <c r="N47" s="95">
        <v>0</v>
      </c>
      <c r="O47" s="89"/>
      <c r="P47" s="95">
        <v>0</v>
      </c>
      <c r="Q47" s="89"/>
      <c r="R47" s="95">
        <v>0</v>
      </c>
      <c r="S47" s="95">
        <v>0</v>
      </c>
      <c r="T47" s="95">
        <v>0</v>
      </c>
      <c r="U47" s="95">
        <v>19373050.54000001</v>
      </c>
      <c r="V47" s="95">
        <v>19037064.579999998</v>
      </c>
      <c r="W47" s="96">
        <v>0</v>
      </c>
      <c r="X47" s="99">
        <v>2.1000000000000001E-2</v>
      </c>
    </row>
    <row r="48" spans="1:24" x14ac:dyDescent="0.3">
      <c r="A48" s="71">
        <v>31146</v>
      </c>
      <c r="B48" s="88" t="s">
        <v>280</v>
      </c>
      <c r="C48" s="95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6">
        <v>0</v>
      </c>
      <c r="K48" s="95">
        <v>0</v>
      </c>
      <c r="L48" s="95">
        <v>0</v>
      </c>
      <c r="M48" s="95">
        <v>0</v>
      </c>
      <c r="N48" s="95">
        <v>0</v>
      </c>
      <c r="O48" s="89"/>
      <c r="P48" s="95">
        <v>0</v>
      </c>
      <c r="Q48" s="89"/>
      <c r="R48" s="95">
        <v>0</v>
      </c>
      <c r="S48" s="95">
        <v>0</v>
      </c>
      <c r="T48" s="95">
        <v>0</v>
      </c>
      <c r="U48" s="95">
        <v>0</v>
      </c>
      <c r="V48" s="95">
        <v>0</v>
      </c>
      <c r="W48" s="96">
        <v>0</v>
      </c>
      <c r="X48" s="99">
        <v>2.9000000000000001E-2</v>
      </c>
    </row>
    <row r="49" spans="1:24" x14ac:dyDescent="0.3">
      <c r="A49" s="71">
        <v>31151</v>
      </c>
      <c r="B49" s="88" t="s">
        <v>281</v>
      </c>
      <c r="C49" s="95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6">
        <v>0</v>
      </c>
      <c r="K49" s="95">
        <v>0</v>
      </c>
      <c r="L49" s="95">
        <v>0</v>
      </c>
      <c r="M49" s="95">
        <v>0</v>
      </c>
      <c r="N49" s="95">
        <v>0</v>
      </c>
      <c r="O49" s="89"/>
      <c r="P49" s="95">
        <v>0</v>
      </c>
      <c r="Q49" s="89"/>
      <c r="R49" s="95">
        <v>0</v>
      </c>
      <c r="S49" s="95">
        <v>0</v>
      </c>
      <c r="T49" s="95">
        <v>0</v>
      </c>
      <c r="U49" s="95">
        <v>0</v>
      </c>
      <c r="V49" s="95">
        <v>0</v>
      </c>
      <c r="W49" s="96">
        <v>0</v>
      </c>
      <c r="X49" s="99">
        <v>0.04</v>
      </c>
    </row>
    <row r="50" spans="1:24" x14ac:dyDescent="0.3">
      <c r="A50" s="71">
        <v>31152</v>
      </c>
      <c r="B50" s="88" t="s">
        <v>282</v>
      </c>
      <c r="C50" s="95">
        <v>0</v>
      </c>
      <c r="D50" s="95">
        <v>0</v>
      </c>
      <c r="E50" s="95">
        <v>0</v>
      </c>
      <c r="F50" s="95">
        <v>0</v>
      </c>
      <c r="G50" s="95">
        <v>0</v>
      </c>
      <c r="H50" s="95">
        <v>0</v>
      </c>
      <c r="I50" s="95">
        <v>0</v>
      </c>
      <c r="J50" s="96">
        <v>0</v>
      </c>
      <c r="K50" s="95">
        <v>0</v>
      </c>
      <c r="L50" s="95">
        <v>0</v>
      </c>
      <c r="M50" s="95">
        <v>0</v>
      </c>
      <c r="N50" s="95">
        <v>0</v>
      </c>
      <c r="O50" s="89"/>
      <c r="P50" s="95">
        <v>0</v>
      </c>
      <c r="Q50" s="89"/>
      <c r="R50" s="95">
        <v>0</v>
      </c>
      <c r="S50" s="95">
        <v>0</v>
      </c>
      <c r="T50" s="95">
        <v>0</v>
      </c>
      <c r="U50" s="95">
        <v>0</v>
      </c>
      <c r="V50" s="95">
        <v>0</v>
      </c>
      <c r="W50" s="96">
        <v>0</v>
      </c>
      <c r="X50" s="99">
        <v>3.5000000000000003E-2</v>
      </c>
    </row>
    <row r="51" spans="1:24" x14ac:dyDescent="0.3">
      <c r="A51" s="71">
        <v>31153</v>
      </c>
      <c r="B51" s="88" t="s">
        <v>283</v>
      </c>
      <c r="C51" s="95">
        <v>0</v>
      </c>
      <c r="D51" s="95">
        <v>0</v>
      </c>
      <c r="E51" s="95">
        <v>0</v>
      </c>
      <c r="F51" s="95">
        <v>0</v>
      </c>
      <c r="G51" s="95">
        <v>0</v>
      </c>
      <c r="H51" s="95">
        <v>0</v>
      </c>
      <c r="I51" s="95">
        <v>0</v>
      </c>
      <c r="J51" s="96">
        <v>0</v>
      </c>
      <c r="K51" s="95">
        <v>0</v>
      </c>
      <c r="L51" s="95">
        <v>0</v>
      </c>
      <c r="M51" s="95">
        <v>0</v>
      </c>
      <c r="N51" s="95">
        <v>0</v>
      </c>
      <c r="O51" s="89"/>
      <c r="P51" s="95">
        <v>0</v>
      </c>
      <c r="Q51" s="89"/>
      <c r="R51" s="95">
        <v>0</v>
      </c>
      <c r="S51" s="95">
        <v>0</v>
      </c>
      <c r="T51" s="95">
        <v>0</v>
      </c>
      <c r="U51" s="95">
        <v>0</v>
      </c>
      <c r="V51" s="95">
        <v>0</v>
      </c>
      <c r="W51" s="96">
        <v>0</v>
      </c>
      <c r="X51" s="99">
        <v>3.1E-2</v>
      </c>
    </row>
    <row r="52" spans="1:24" x14ac:dyDescent="0.3">
      <c r="A52" s="71">
        <v>31154</v>
      </c>
      <c r="B52" s="88" t="s">
        <v>284</v>
      </c>
      <c r="C52" s="95">
        <v>16995428.25</v>
      </c>
      <c r="D52" s="95">
        <v>0</v>
      </c>
      <c r="E52" s="95">
        <v>0</v>
      </c>
      <c r="F52" s="95">
        <v>0</v>
      </c>
      <c r="G52" s="95">
        <v>0</v>
      </c>
      <c r="H52" s="95">
        <v>16995428.25</v>
      </c>
      <c r="I52" s="95">
        <v>16995428.25</v>
      </c>
      <c r="J52" s="96">
        <v>0</v>
      </c>
      <c r="K52" s="95">
        <v>6864931.75</v>
      </c>
      <c r="L52" s="95">
        <v>475872</v>
      </c>
      <c r="M52" s="95">
        <v>0</v>
      </c>
      <c r="N52" s="95">
        <v>0</v>
      </c>
      <c r="O52" s="89"/>
      <c r="P52" s="95">
        <v>0</v>
      </c>
      <c r="Q52" s="89"/>
      <c r="R52" s="95">
        <v>0</v>
      </c>
      <c r="S52" s="95">
        <v>0</v>
      </c>
      <c r="T52" s="95">
        <v>0</v>
      </c>
      <c r="U52" s="95">
        <v>7340803.75</v>
      </c>
      <c r="V52" s="95">
        <v>7102867.75</v>
      </c>
      <c r="W52" s="96">
        <v>0</v>
      </c>
      <c r="X52" s="99">
        <v>2.8000000000000001E-2</v>
      </c>
    </row>
    <row r="53" spans="1:24" x14ac:dyDescent="0.3">
      <c r="A53" s="71">
        <v>31175</v>
      </c>
      <c r="B53" s="88" t="s">
        <v>285</v>
      </c>
      <c r="C53" s="95">
        <v>0</v>
      </c>
      <c r="D53" s="95">
        <v>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6">
        <v>0</v>
      </c>
      <c r="K53" s="95">
        <v>0</v>
      </c>
      <c r="L53" s="95">
        <v>0</v>
      </c>
      <c r="M53" s="95">
        <v>0</v>
      </c>
      <c r="N53" s="95">
        <v>0</v>
      </c>
      <c r="O53" s="89"/>
      <c r="P53" s="95">
        <v>0</v>
      </c>
      <c r="Q53" s="89"/>
      <c r="R53" s="95">
        <v>0</v>
      </c>
      <c r="S53" s="95">
        <v>0</v>
      </c>
      <c r="T53" s="95">
        <v>0</v>
      </c>
      <c r="U53" s="95">
        <v>0</v>
      </c>
      <c r="V53" s="95">
        <v>0</v>
      </c>
      <c r="W53" s="96">
        <v>0</v>
      </c>
      <c r="X53" s="99">
        <v>0</v>
      </c>
    </row>
    <row r="54" spans="1:24" x14ac:dyDescent="0.3">
      <c r="A54" s="71">
        <v>31178</v>
      </c>
      <c r="B54" s="88" t="s">
        <v>286</v>
      </c>
      <c r="C54" s="95">
        <v>0</v>
      </c>
      <c r="D54" s="95">
        <v>0</v>
      </c>
      <c r="E54" s="95">
        <v>0</v>
      </c>
      <c r="F54" s="95">
        <v>0</v>
      </c>
      <c r="G54" s="95">
        <v>0</v>
      </c>
      <c r="H54" s="95">
        <v>0</v>
      </c>
      <c r="I54" s="95">
        <v>0</v>
      </c>
      <c r="J54" s="96">
        <v>0</v>
      </c>
      <c r="K54" s="95">
        <v>0</v>
      </c>
      <c r="L54" s="95">
        <v>0</v>
      </c>
      <c r="M54" s="95">
        <v>0</v>
      </c>
      <c r="N54" s="95">
        <v>0</v>
      </c>
      <c r="O54" s="89"/>
      <c r="P54" s="95">
        <v>0</v>
      </c>
      <c r="Q54" s="89"/>
      <c r="R54" s="95">
        <v>0</v>
      </c>
      <c r="S54" s="95">
        <v>0</v>
      </c>
      <c r="T54" s="95">
        <v>0</v>
      </c>
      <c r="U54" s="95">
        <v>0</v>
      </c>
      <c r="V54" s="95">
        <v>0</v>
      </c>
      <c r="W54" s="96">
        <v>0</v>
      </c>
      <c r="X54" s="99">
        <v>0</v>
      </c>
    </row>
    <row r="55" spans="1:24" x14ac:dyDescent="0.3">
      <c r="A55" s="71">
        <v>31179</v>
      </c>
      <c r="B55" s="88" t="s">
        <v>287</v>
      </c>
      <c r="C55" s="95">
        <v>0</v>
      </c>
      <c r="D55" s="95">
        <v>0</v>
      </c>
      <c r="E55" s="95">
        <v>0</v>
      </c>
      <c r="F55" s="95">
        <v>0</v>
      </c>
      <c r="G55" s="95">
        <v>0</v>
      </c>
      <c r="H55" s="95">
        <v>0</v>
      </c>
      <c r="I55" s="95">
        <v>0</v>
      </c>
      <c r="J55" s="96">
        <v>0</v>
      </c>
      <c r="K55" s="95">
        <v>0</v>
      </c>
      <c r="L55" s="95">
        <v>0</v>
      </c>
      <c r="M55" s="95">
        <v>0</v>
      </c>
      <c r="N55" s="95">
        <v>0</v>
      </c>
      <c r="O55" s="89"/>
      <c r="P55" s="95">
        <v>0</v>
      </c>
      <c r="Q55" s="89"/>
      <c r="R55" s="95">
        <v>0</v>
      </c>
      <c r="S55" s="95">
        <v>0</v>
      </c>
      <c r="T55" s="95">
        <v>0</v>
      </c>
      <c r="U55" s="95">
        <v>0</v>
      </c>
      <c r="V55" s="95">
        <v>0</v>
      </c>
      <c r="W55" s="96">
        <v>0</v>
      </c>
      <c r="X55" s="99">
        <v>0</v>
      </c>
    </row>
    <row r="56" spans="1:24" x14ac:dyDescent="0.3">
      <c r="A56" s="71">
        <v>31230</v>
      </c>
      <c r="B56" s="88" t="s">
        <v>288</v>
      </c>
      <c r="C56" s="95">
        <v>0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96">
        <v>0</v>
      </c>
      <c r="K56" s="95">
        <v>0</v>
      </c>
      <c r="L56" s="95">
        <v>0</v>
      </c>
      <c r="M56" s="95">
        <v>0</v>
      </c>
      <c r="N56" s="95">
        <v>0</v>
      </c>
      <c r="O56" s="89"/>
      <c r="P56" s="95">
        <v>0</v>
      </c>
      <c r="Q56" s="89"/>
      <c r="R56" s="95">
        <v>0</v>
      </c>
      <c r="S56" s="95">
        <v>0</v>
      </c>
      <c r="T56" s="95">
        <v>0</v>
      </c>
      <c r="U56" s="95">
        <v>0</v>
      </c>
      <c r="V56" s="95">
        <v>0</v>
      </c>
      <c r="W56" s="96">
        <v>0</v>
      </c>
      <c r="X56" s="99">
        <v>0</v>
      </c>
    </row>
    <row r="57" spans="1:24" x14ac:dyDescent="0.3">
      <c r="A57" s="71">
        <v>31231</v>
      </c>
      <c r="B57" s="88" t="s">
        <v>289</v>
      </c>
      <c r="C57" s="95">
        <v>0</v>
      </c>
      <c r="D57" s="95">
        <v>0</v>
      </c>
      <c r="E57" s="95">
        <v>0</v>
      </c>
      <c r="F57" s="95">
        <v>0</v>
      </c>
      <c r="G57" s="95">
        <v>0</v>
      </c>
      <c r="H57" s="95">
        <v>0</v>
      </c>
      <c r="I57" s="95">
        <v>0</v>
      </c>
      <c r="J57" s="96">
        <v>0</v>
      </c>
      <c r="K57" s="95">
        <v>0</v>
      </c>
      <c r="L57" s="95">
        <v>0</v>
      </c>
      <c r="M57" s="95">
        <v>0</v>
      </c>
      <c r="N57" s="95">
        <v>0</v>
      </c>
      <c r="O57" s="89"/>
      <c r="P57" s="95">
        <v>0</v>
      </c>
      <c r="Q57" s="89"/>
      <c r="R57" s="95">
        <v>0</v>
      </c>
      <c r="S57" s="95">
        <v>0</v>
      </c>
      <c r="T57" s="95">
        <v>0</v>
      </c>
      <c r="U57" s="95">
        <v>0</v>
      </c>
      <c r="V57" s="95">
        <v>0</v>
      </c>
      <c r="W57" s="96">
        <v>0</v>
      </c>
      <c r="X57" s="99">
        <v>0</v>
      </c>
    </row>
    <row r="58" spans="1:24" x14ac:dyDescent="0.3">
      <c r="A58" s="71">
        <v>31232</v>
      </c>
      <c r="B58" s="88" t="s">
        <v>290</v>
      </c>
      <c r="C58" s="95">
        <v>0</v>
      </c>
      <c r="D58" s="95">
        <v>0</v>
      </c>
      <c r="E58" s="95">
        <v>0</v>
      </c>
      <c r="F58" s="95">
        <v>0</v>
      </c>
      <c r="G58" s="95">
        <v>0</v>
      </c>
      <c r="H58" s="95">
        <v>0</v>
      </c>
      <c r="I58" s="95">
        <v>0</v>
      </c>
      <c r="J58" s="96">
        <v>0</v>
      </c>
      <c r="K58" s="95">
        <v>0</v>
      </c>
      <c r="L58" s="95">
        <v>0</v>
      </c>
      <c r="M58" s="95">
        <v>0</v>
      </c>
      <c r="N58" s="95">
        <v>0</v>
      </c>
      <c r="O58" s="89"/>
      <c r="P58" s="95">
        <v>0</v>
      </c>
      <c r="Q58" s="89"/>
      <c r="R58" s="95">
        <v>0</v>
      </c>
      <c r="S58" s="95">
        <v>0</v>
      </c>
      <c r="T58" s="95">
        <v>0</v>
      </c>
      <c r="U58" s="95">
        <v>0</v>
      </c>
      <c r="V58" s="95">
        <v>0</v>
      </c>
      <c r="W58" s="96">
        <v>0</v>
      </c>
      <c r="X58" s="99">
        <v>0</v>
      </c>
    </row>
    <row r="59" spans="1:24" x14ac:dyDescent="0.3">
      <c r="A59" s="71">
        <v>31240</v>
      </c>
      <c r="B59" s="88" t="s">
        <v>291</v>
      </c>
      <c r="C59" s="95">
        <v>189629305.4799999</v>
      </c>
      <c r="D59" s="95">
        <v>10124203.75</v>
      </c>
      <c r="E59" s="95">
        <v>-2024840.76</v>
      </c>
      <c r="F59" s="95">
        <v>0</v>
      </c>
      <c r="G59" s="95">
        <v>0</v>
      </c>
      <c r="H59" s="95">
        <v>197728668.46999991</v>
      </c>
      <c r="I59" s="95">
        <v>194282905.58000001</v>
      </c>
      <c r="J59" s="96">
        <v>0</v>
      </c>
      <c r="K59" s="95">
        <v>43993722.549999982</v>
      </c>
      <c r="L59" s="95">
        <v>8923804.9000000004</v>
      </c>
      <c r="M59" s="95">
        <v>-2024840.76</v>
      </c>
      <c r="N59" s="95">
        <v>-405696.76</v>
      </c>
      <c r="O59" s="89"/>
      <c r="P59" s="95">
        <v>0</v>
      </c>
      <c r="Q59" s="89"/>
      <c r="R59" s="95">
        <v>0</v>
      </c>
      <c r="S59" s="95">
        <v>0</v>
      </c>
      <c r="T59" s="95">
        <v>0</v>
      </c>
      <c r="U59" s="95">
        <v>50486989.929999985</v>
      </c>
      <c r="V59" s="95">
        <v>47041786.170000002</v>
      </c>
      <c r="W59" s="96">
        <v>5.0000250339508057E-3</v>
      </c>
      <c r="X59" s="99">
        <v>4.5999999999999999E-2</v>
      </c>
    </row>
    <row r="60" spans="1:24" x14ac:dyDescent="0.3">
      <c r="A60" s="71">
        <v>31241</v>
      </c>
      <c r="B60" s="88" t="s">
        <v>292</v>
      </c>
      <c r="C60" s="95">
        <v>0</v>
      </c>
      <c r="D60" s="95">
        <v>0</v>
      </c>
      <c r="E60" s="95">
        <v>0</v>
      </c>
      <c r="F60" s="95">
        <v>0</v>
      </c>
      <c r="G60" s="95">
        <v>0</v>
      </c>
      <c r="H60" s="95">
        <v>0</v>
      </c>
      <c r="I60" s="95">
        <v>0</v>
      </c>
      <c r="J60" s="96">
        <v>0</v>
      </c>
      <c r="K60" s="95">
        <v>0</v>
      </c>
      <c r="L60" s="95">
        <v>0</v>
      </c>
      <c r="M60" s="95">
        <v>0</v>
      </c>
      <c r="N60" s="95">
        <v>0</v>
      </c>
      <c r="O60" s="89"/>
      <c r="P60" s="95">
        <v>0</v>
      </c>
      <c r="Q60" s="89"/>
      <c r="R60" s="95">
        <v>0</v>
      </c>
      <c r="S60" s="95">
        <v>0</v>
      </c>
      <c r="T60" s="95">
        <v>0</v>
      </c>
      <c r="U60" s="95">
        <v>0</v>
      </c>
      <c r="V60" s="95">
        <v>0</v>
      </c>
      <c r="W60" s="96">
        <v>0</v>
      </c>
      <c r="X60" s="99">
        <v>5.1999999999999998E-2</v>
      </c>
    </row>
    <row r="61" spans="1:24" x14ac:dyDescent="0.3">
      <c r="A61" s="71">
        <v>31242</v>
      </c>
      <c r="B61" s="88" t="s">
        <v>293</v>
      </c>
      <c r="C61" s="95">
        <v>0</v>
      </c>
      <c r="D61" s="95">
        <v>0</v>
      </c>
      <c r="E61" s="95">
        <v>0</v>
      </c>
      <c r="F61" s="95">
        <v>0</v>
      </c>
      <c r="G61" s="95">
        <v>0</v>
      </c>
      <c r="H61" s="95">
        <v>0</v>
      </c>
      <c r="I61" s="95">
        <v>0</v>
      </c>
      <c r="J61" s="96">
        <v>0</v>
      </c>
      <c r="K61" s="95">
        <v>0</v>
      </c>
      <c r="L61" s="95">
        <v>0</v>
      </c>
      <c r="M61" s="95">
        <v>0</v>
      </c>
      <c r="N61" s="95">
        <v>0</v>
      </c>
      <c r="O61" s="89"/>
      <c r="P61" s="95">
        <v>0</v>
      </c>
      <c r="Q61" s="89"/>
      <c r="R61" s="95">
        <v>0</v>
      </c>
      <c r="S61" s="95">
        <v>0</v>
      </c>
      <c r="T61" s="95">
        <v>0</v>
      </c>
      <c r="U61" s="95">
        <v>0</v>
      </c>
      <c r="V61" s="95">
        <v>0</v>
      </c>
      <c r="W61" s="96">
        <v>0</v>
      </c>
      <c r="X61" s="99">
        <v>4.2999999999999997E-2</v>
      </c>
    </row>
    <row r="62" spans="1:24" x14ac:dyDescent="0.3">
      <c r="A62" s="71">
        <v>31243</v>
      </c>
      <c r="B62" s="88" t="s">
        <v>294</v>
      </c>
      <c r="C62" s="95">
        <v>0</v>
      </c>
      <c r="D62" s="95">
        <v>0</v>
      </c>
      <c r="E62" s="95">
        <v>0</v>
      </c>
      <c r="F62" s="95">
        <v>0</v>
      </c>
      <c r="G62" s="95">
        <v>0</v>
      </c>
      <c r="H62" s="95">
        <v>0</v>
      </c>
      <c r="I62" s="95">
        <v>0</v>
      </c>
      <c r="J62" s="96">
        <v>0</v>
      </c>
      <c r="K62" s="95">
        <v>0</v>
      </c>
      <c r="L62" s="95">
        <v>0</v>
      </c>
      <c r="M62" s="95">
        <v>0</v>
      </c>
      <c r="N62" s="95">
        <v>0</v>
      </c>
      <c r="O62" s="89"/>
      <c r="P62" s="95">
        <v>0</v>
      </c>
      <c r="Q62" s="89"/>
      <c r="R62" s="95">
        <v>0</v>
      </c>
      <c r="S62" s="95">
        <v>0</v>
      </c>
      <c r="T62" s="95">
        <v>0</v>
      </c>
      <c r="U62" s="95">
        <v>0</v>
      </c>
      <c r="V62" s="95">
        <v>0</v>
      </c>
      <c r="W62" s="96">
        <v>0</v>
      </c>
      <c r="X62" s="99">
        <v>3.5999999999999997E-2</v>
      </c>
    </row>
    <row r="63" spans="1:24" x14ac:dyDescent="0.3">
      <c r="A63" s="71">
        <v>31244</v>
      </c>
      <c r="B63" s="88" t="s">
        <v>295</v>
      </c>
      <c r="C63" s="95">
        <v>309059932.95999974</v>
      </c>
      <c r="D63" s="95">
        <v>8616721.1600000001</v>
      </c>
      <c r="E63" s="95">
        <v>-1723344.21</v>
      </c>
      <c r="F63" s="95">
        <v>0</v>
      </c>
      <c r="G63" s="95">
        <v>0</v>
      </c>
      <c r="H63" s="95">
        <v>315953309.90999979</v>
      </c>
      <c r="I63" s="95">
        <v>314559018.00999999</v>
      </c>
      <c r="J63" s="96">
        <v>-4.9999356269836426E-3</v>
      </c>
      <c r="K63" s="95">
        <v>108704350.20000002</v>
      </c>
      <c r="L63" s="95">
        <v>10376613.279999999</v>
      </c>
      <c r="M63" s="95">
        <v>-1723344.21</v>
      </c>
      <c r="N63" s="95">
        <v>-255225.29</v>
      </c>
      <c r="O63" s="89"/>
      <c r="P63" s="95">
        <v>0</v>
      </c>
      <c r="Q63" s="89"/>
      <c r="R63" s="95">
        <v>0</v>
      </c>
      <c r="S63" s="95">
        <v>0</v>
      </c>
      <c r="T63" s="95">
        <v>0</v>
      </c>
      <c r="U63" s="95">
        <v>117102393.98000002</v>
      </c>
      <c r="V63" s="95">
        <v>112386307.53</v>
      </c>
      <c r="W63" s="96">
        <v>4.9999654293060303E-3</v>
      </c>
      <c r="X63" s="99">
        <v>3.3000000000000002E-2</v>
      </c>
    </row>
    <row r="64" spans="1:24" x14ac:dyDescent="0.3">
      <c r="A64" s="71">
        <v>31245</v>
      </c>
      <c r="B64" s="88" t="s">
        <v>296</v>
      </c>
      <c r="C64" s="95">
        <v>196281664.2599999</v>
      </c>
      <c r="D64" s="95">
        <v>1078810.97</v>
      </c>
      <c r="E64" s="95">
        <v>-215762.19</v>
      </c>
      <c r="F64" s="95">
        <v>0</v>
      </c>
      <c r="G64" s="95">
        <v>0</v>
      </c>
      <c r="H64" s="95">
        <v>197144713.0399999</v>
      </c>
      <c r="I64" s="95">
        <v>196756523.74000001</v>
      </c>
      <c r="J64" s="96">
        <v>0</v>
      </c>
      <c r="K64" s="95">
        <v>74988105.059999987</v>
      </c>
      <c r="L64" s="95">
        <v>6098449.4400000004</v>
      </c>
      <c r="M64" s="95">
        <v>-215762.19</v>
      </c>
      <c r="N64" s="95">
        <v>-116558.2</v>
      </c>
      <c r="O64" s="89"/>
      <c r="P64" s="95">
        <v>0</v>
      </c>
      <c r="Q64" s="89"/>
      <c r="R64" s="95">
        <v>0</v>
      </c>
      <c r="S64" s="95">
        <v>0</v>
      </c>
      <c r="T64" s="95">
        <v>0</v>
      </c>
      <c r="U64" s="95">
        <v>80754234.109999985</v>
      </c>
      <c r="V64" s="95">
        <v>77878897.849999994</v>
      </c>
      <c r="W64" s="96">
        <v>0</v>
      </c>
      <c r="X64" s="99">
        <v>3.1E-2</v>
      </c>
    </row>
    <row r="65" spans="1:24" x14ac:dyDescent="0.3">
      <c r="A65" s="71">
        <v>31246</v>
      </c>
      <c r="B65" s="88" t="s">
        <v>297</v>
      </c>
      <c r="C65" s="95">
        <v>0</v>
      </c>
      <c r="D65" s="95">
        <v>0</v>
      </c>
      <c r="E65" s="95">
        <v>0</v>
      </c>
      <c r="F65" s="95">
        <v>0</v>
      </c>
      <c r="G65" s="95">
        <v>0</v>
      </c>
      <c r="H65" s="95">
        <v>0</v>
      </c>
      <c r="I65" s="95">
        <v>0</v>
      </c>
      <c r="J65" s="96">
        <v>0</v>
      </c>
      <c r="K65" s="95">
        <v>0</v>
      </c>
      <c r="L65" s="95">
        <v>0</v>
      </c>
      <c r="M65" s="95">
        <v>0</v>
      </c>
      <c r="N65" s="95">
        <v>0</v>
      </c>
      <c r="O65" s="89"/>
      <c r="P65" s="95">
        <v>0</v>
      </c>
      <c r="Q65" s="89"/>
      <c r="R65" s="95">
        <v>0</v>
      </c>
      <c r="S65" s="95">
        <v>0</v>
      </c>
      <c r="T65" s="95">
        <v>0</v>
      </c>
      <c r="U65" s="95">
        <v>0</v>
      </c>
      <c r="V65" s="95">
        <v>0</v>
      </c>
      <c r="W65" s="96">
        <v>0</v>
      </c>
      <c r="X65" s="99">
        <v>4.2999999999999997E-2</v>
      </c>
    </row>
    <row r="66" spans="1:24" x14ac:dyDescent="0.3">
      <c r="A66" s="71">
        <v>31247</v>
      </c>
      <c r="B66" s="88" t="s">
        <v>298</v>
      </c>
      <c r="C66" s="95">
        <v>10156523.809999999</v>
      </c>
      <c r="D66" s="95">
        <v>0</v>
      </c>
      <c r="E66" s="95">
        <v>0</v>
      </c>
      <c r="F66" s="95">
        <v>0</v>
      </c>
      <c r="G66" s="95">
        <v>0</v>
      </c>
      <c r="H66" s="95">
        <v>10156523.809999999</v>
      </c>
      <c r="I66" s="95">
        <v>10156523.810000001</v>
      </c>
      <c r="J66" s="96">
        <v>0</v>
      </c>
      <c r="K66" s="95">
        <v>10187109.649999999</v>
      </c>
      <c r="L66" s="95">
        <v>0</v>
      </c>
      <c r="M66" s="95">
        <v>0</v>
      </c>
      <c r="N66" s="95">
        <v>0</v>
      </c>
      <c r="O66" s="89"/>
      <c r="P66" s="95">
        <v>0</v>
      </c>
      <c r="Q66" s="89"/>
      <c r="R66" s="95">
        <v>0</v>
      </c>
      <c r="S66" s="95">
        <v>0</v>
      </c>
      <c r="T66" s="95">
        <v>0</v>
      </c>
      <c r="U66" s="95">
        <v>10187109.649999999</v>
      </c>
      <c r="V66" s="95">
        <v>10187109.65</v>
      </c>
      <c r="W66" s="96">
        <v>0</v>
      </c>
      <c r="X66" s="99">
        <v>0.2</v>
      </c>
    </row>
    <row r="67" spans="1:24" x14ac:dyDescent="0.3">
      <c r="A67" s="71">
        <v>31251</v>
      </c>
      <c r="B67" s="88" t="s">
        <v>299</v>
      </c>
      <c r="C67" s="95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6">
        <v>0</v>
      </c>
      <c r="K67" s="95">
        <v>0</v>
      </c>
      <c r="L67" s="95">
        <v>0</v>
      </c>
      <c r="M67" s="95">
        <v>0</v>
      </c>
      <c r="N67" s="95">
        <v>0</v>
      </c>
      <c r="O67" s="89"/>
      <c r="P67" s="95">
        <v>0</v>
      </c>
      <c r="Q67" s="89"/>
      <c r="R67" s="95">
        <v>0</v>
      </c>
      <c r="S67" s="95">
        <v>0</v>
      </c>
      <c r="T67" s="95">
        <v>0</v>
      </c>
      <c r="U67" s="95">
        <v>0</v>
      </c>
      <c r="V67" s="95">
        <v>0</v>
      </c>
      <c r="W67" s="96">
        <v>0</v>
      </c>
      <c r="X67" s="99">
        <v>4.2999999999999997E-2</v>
      </c>
    </row>
    <row r="68" spans="1:24" x14ac:dyDescent="0.3">
      <c r="A68" s="71">
        <v>31252</v>
      </c>
      <c r="B68" s="88" t="s">
        <v>300</v>
      </c>
      <c r="C68" s="95">
        <v>0</v>
      </c>
      <c r="D68" s="95">
        <v>0</v>
      </c>
      <c r="E68" s="95">
        <v>0</v>
      </c>
      <c r="F68" s="95">
        <v>0</v>
      </c>
      <c r="G68" s="95">
        <v>0</v>
      </c>
      <c r="H68" s="95">
        <v>0</v>
      </c>
      <c r="I68" s="95">
        <v>0</v>
      </c>
      <c r="J68" s="96">
        <v>0</v>
      </c>
      <c r="K68" s="95">
        <v>0</v>
      </c>
      <c r="L68" s="95">
        <v>0</v>
      </c>
      <c r="M68" s="95">
        <v>0</v>
      </c>
      <c r="N68" s="95">
        <v>0</v>
      </c>
      <c r="O68" s="89"/>
      <c r="P68" s="95">
        <v>0</v>
      </c>
      <c r="Q68" s="89"/>
      <c r="R68" s="95">
        <v>0</v>
      </c>
      <c r="S68" s="95">
        <v>0</v>
      </c>
      <c r="T68" s="95">
        <v>0</v>
      </c>
      <c r="U68" s="95">
        <v>0</v>
      </c>
      <c r="V68" s="95">
        <v>0</v>
      </c>
      <c r="W68" s="96">
        <v>0</v>
      </c>
      <c r="X68" s="99">
        <v>4.2000000000000003E-2</v>
      </c>
    </row>
    <row r="69" spans="1:24" x14ac:dyDescent="0.3">
      <c r="A69" s="71">
        <v>31253</v>
      </c>
      <c r="B69" s="88" t="s">
        <v>301</v>
      </c>
      <c r="C69" s="95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6">
        <v>0</v>
      </c>
      <c r="K69" s="95">
        <v>0</v>
      </c>
      <c r="L69" s="95">
        <v>0</v>
      </c>
      <c r="M69" s="95">
        <v>0</v>
      </c>
      <c r="N69" s="95">
        <v>0</v>
      </c>
      <c r="O69" s="89"/>
      <c r="P69" s="95">
        <v>0</v>
      </c>
      <c r="Q69" s="89"/>
      <c r="R69" s="95">
        <v>0</v>
      </c>
      <c r="S69" s="95">
        <v>0</v>
      </c>
      <c r="T69" s="95">
        <v>0</v>
      </c>
      <c r="U69" s="95">
        <v>0</v>
      </c>
      <c r="V69" s="95">
        <v>0</v>
      </c>
      <c r="W69" s="96">
        <v>0</v>
      </c>
      <c r="X69" s="99">
        <v>3.5000000000000003E-2</v>
      </c>
    </row>
    <row r="70" spans="1:24" x14ac:dyDescent="0.3">
      <c r="A70" s="71">
        <v>31254</v>
      </c>
      <c r="B70" s="88" t="s">
        <v>302</v>
      </c>
      <c r="C70" s="95">
        <v>40246094.979999997</v>
      </c>
      <c r="D70" s="95">
        <v>26884.51</v>
      </c>
      <c r="E70" s="95">
        <v>-5376.9</v>
      </c>
      <c r="F70" s="95">
        <v>0</v>
      </c>
      <c r="G70" s="95">
        <v>0</v>
      </c>
      <c r="H70" s="95">
        <v>40267602.589999996</v>
      </c>
      <c r="I70" s="95">
        <v>40259330.43</v>
      </c>
      <c r="J70" s="96">
        <v>-4.999995231628418E-3</v>
      </c>
      <c r="K70" s="95">
        <v>14702241.570000011</v>
      </c>
      <c r="L70" s="95">
        <v>1449311.07</v>
      </c>
      <c r="M70" s="95">
        <v>-5376.9</v>
      </c>
      <c r="N70" s="95">
        <v>0</v>
      </c>
      <c r="O70" s="89"/>
      <c r="P70" s="95">
        <v>0</v>
      </c>
      <c r="Q70" s="89"/>
      <c r="R70" s="95">
        <v>0</v>
      </c>
      <c r="S70" s="95">
        <v>0</v>
      </c>
      <c r="T70" s="95">
        <v>0</v>
      </c>
      <c r="U70" s="95">
        <v>16146175.740000011</v>
      </c>
      <c r="V70" s="95">
        <v>15423501.380000001</v>
      </c>
      <c r="W70" s="96">
        <v>0</v>
      </c>
      <c r="X70" s="99">
        <v>3.5999999999999997E-2</v>
      </c>
    </row>
    <row r="71" spans="1:24" x14ac:dyDescent="0.3">
      <c r="A71" s="71">
        <v>31275</v>
      </c>
      <c r="B71" s="88" t="s">
        <v>303</v>
      </c>
      <c r="C71" s="95">
        <v>0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6">
        <v>0</v>
      </c>
      <c r="K71" s="95">
        <v>0</v>
      </c>
      <c r="L71" s="95">
        <v>0</v>
      </c>
      <c r="M71" s="95">
        <v>0</v>
      </c>
      <c r="N71" s="95">
        <v>0</v>
      </c>
      <c r="O71" s="89"/>
      <c r="P71" s="95">
        <v>0</v>
      </c>
      <c r="Q71" s="89"/>
      <c r="R71" s="95">
        <v>0</v>
      </c>
      <c r="S71" s="95">
        <v>0</v>
      </c>
      <c r="T71" s="95">
        <v>0</v>
      </c>
      <c r="U71" s="95">
        <v>0</v>
      </c>
      <c r="V71" s="95">
        <v>0</v>
      </c>
      <c r="W71" s="96">
        <v>0</v>
      </c>
      <c r="X71" s="99">
        <v>0</v>
      </c>
    </row>
    <row r="72" spans="1:24" x14ac:dyDescent="0.3">
      <c r="A72" s="71">
        <v>31430</v>
      </c>
      <c r="B72" s="88" t="s">
        <v>304</v>
      </c>
      <c r="C72" s="95">
        <v>0</v>
      </c>
      <c r="D72" s="95">
        <v>0</v>
      </c>
      <c r="E72" s="95">
        <v>0</v>
      </c>
      <c r="F72" s="95">
        <v>0</v>
      </c>
      <c r="G72" s="95">
        <v>0</v>
      </c>
      <c r="H72" s="95">
        <v>0</v>
      </c>
      <c r="I72" s="95">
        <v>0</v>
      </c>
      <c r="J72" s="96">
        <v>0</v>
      </c>
      <c r="K72" s="95">
        <v>0</v>
      </c>
      <c r="L72" s="95">
        <v>0</v>
      </c>
      <c r="M72" s="95">
        <v>0</v>
      </c>
      <c r="N72" s="95">
        <v>0</v>
      </c>
      <c r="O72" s="89"/>
      <c r="P72" s="95">
        <v>0</v>
      </c>
      <c r="Q72" s="89"/>
      <c r="R72" s="95">
        <v>0</v>
      </c>
      <c r="S72" s="95">
        <v>0</v>
      </c>
      <c r="T72" s="95">
        <v>0</v>
      </c>
      <c r="U72" s="95">
        <v>0</v>
      </c>
      <c r="V72" s="95">
        <v>0</v>
      </c>
      <c r="W72" s="96">
        <v>0</v>
      </c>
      <c r="X72" s="99">
        <v>0</v>
      </c>
    </row>
    <row r="73" spans="1:24" x14ac:dyDescent="0.3">
      <c r="A73" s="71">
        <v>31431</v>
      </c>
      <c r="B73" s="88" t="s">
        <v>305</v>
      </c>
      <c r="C73" s="95">
        <v>0</v>
      </c>
      <c r="D73" s="95">
        <v>0</v>
      </c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6">
        <v>0</v>
      </c>
      <c r="K73" s="95">
        <v>0</v>
      </c>
      <c r="L73" s="95">
        <v>0</v>
      </c>
      <c r="M73" s="95">
        <v>0</v>
      </c>
      <c r="N73" s="95">
        <v>0</v>
      </c>
      <c r="O73" s="89"/>
      <c r="P73" s="95">
        <v>0</v>
      </c>
      <c r="Q73" s="89"/>
      <c r="R73" s="95">
        <v>0</v>
      </c>
      <c r="S73" s="95">
        <v>0</v>
      </c>
      <c r="T73" s="95">
        <v>0</v>
      </c>
      <c r="U73" s="95">
        <v>0</v>
      </c>
      <c r="V73" s="95">
        <v>0</v>
      </c>
      <c r="W73" s="96">
        <v>0</v>
      </c>
      <c r="X73" s="99">
        <v>0</v>
      </c>
    </row>
    <row r="74" spans="1:24" x14ac:dyDescent="0.3">
      <c r="A74" s="71">
        <v>31432</v>
      </c>
      <c r="B74" s="88" t="s">
        <v>306</v>
      </c>
      <c r="C74" s="95">
        <v>0</v>
      </c>
      <c r="D74" s="95">
        <v>0</v>
      </c>
      <c r="E74" s="95">
        <v>0</v>
      </c>
      <c r="F74" s="95">
        <v>0</v>
      </c>
      <c r="G74" s="95">
        <v>0</v>
      </c>
      <c r="H74" s="95">
        <v>0</v>
      </c>
      <c r="I74" s="95">
        <v>0</v>
      </c>
      <c r="J74" s="96">
        <v>0</v>
      </c>
      <c r="K74" s="95">
        <v>0</v>
      </c>
      <c r="L74" s="95">
        <v>0</v>
      </c>
      <c r="M74" s="95">
        <v>0</v>
      </c>
      <c r="N74" s="95">
        <v>0</v>
      </c>
      <c r="O74" s="89"/>
      <c r="P74" s="95">
        <v>0</v>
      </c>
      <c r="Q74" s="89"/>
      <c r="R74" s="95">
        <v>0</v>
      </c>
      <c r="S74" s="95">
        <v>0</v>
      </c>
      <c r="T74" s="95">
        <v>0</v>
      </c>
      <c r="U74" s="95">
        <v>0</v>
      </c>
      <c r="V74" s="95">
        <v>0</v>
      </c>
      <c r="W74" s="96">
        <v>0</v>
      </c>
      <c r="X74" s="99">
        <v>0</v>
      </c>
    </row>
    <row r="75" spans="1:24" x14ac:dyDescent="0.3">
      <c r="A75" s="71">
        <v>31433</v>
      </c>
      <c r="B75" s="88" t="s">
        <v>307</v>
      </c>
      <c r="C75" s="95">
        <v>0</v>
      </c>
      <c r="D75" s="95">
        <v>0</v>
      </c>
      <c r="E75" s="95">
        <v>0</v>
      </c>
      <c r="F75" s="95">
        <v>0</v>
      </c>
      <c r="G75" s="95">
        <v>0</v>
      </c>
      <c r="H75" s="95">
        <v>0</v>
      </c>
      <c r="I75" s="95">
        <v>0</v>
      </c>
      <c r="J75" s="96">
        <v>0</v>
      </c>
      <c r="K75" s="95">
        <v>0</v>
      </c>
      <c r="L75" s="95">
        <v>0</v>
      </c>
      <c r="M75" s="95">
        <v>0</v>
      </c>
      <c r="N75" s="95">
        <v>0</v>
      </c>
      <c r="O75" s="89"/>
      <c r="P75" s="95">
        <v>0</v>
      </c>
      <c r="Q75" s="89"/>
      <c r="R75" s="95">
        <v>0</v>
      </c>
      <c r="S75" s="95">
        <v>0</v>
      </c>
      <c r="T75" s="95">
        <v>0</v>
      </c>
      <c r="U75" s="95">
        <v>0</v>
      </c>
      <c r="V75" s="95">
        <v>0</v>
      </c>
      <c r="W75" s="96">
        <v>0</v>
      </c>
      <c r="X75" s="99">
        <v>0</v>
      </c>
    </row>
    <row r="76" spans="1:24" x14ac:dyDescent="0.3">
      <c r="A76" s="71">
        <v>31434</v>
      </c>
      <c r="B76" s="88" t="s">
        <v>308</v>
      </c>
      <c r="C76" s="95">
        <v>0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6">
        <v>0</v>
      </c>
      <c r="K76" s="95">
        <v>0</v>
      </c>
      <c r="L76" s="95">
        <v>0</v>
      </c>
      <c r="M76" s="95">
        <v>0</v>
      </c>
      <c r="N76" s="95">
        <v>0</v>
      </c>
      <c r="O76" s="89"/>
      <c r="P76" s="95">
        <v>0</v>
      </c>
      <c r="Q76" s="89"/>
      <c r="R76" s="95">
        <v>0</v>
      </c>
      <c r="S76" s="95">
        <v>0</v>
      </c>
      <c r="T76" s="95">
        <v>0</v>
      </c>
      <c r="U76" s="95">
        <v>0</v>
      </c>
      <c r="V76" s="95">
        <v>0</v>
      </c>
      <c r="W76" s="96">
        <v>0</v>
      </c>
      <c r="X76" s="99">
        <v>0</v>
      </c>
    </row>
    <row r="77" spans="1:24" x14ac:dyDescent="0.3">
      <c r="A77" s="71">
        <v>31440</v>
      </c>
      <c r="B77" s="88" t="s">
        <v>309</v>
      </c>
      <c r="C77" s="95">
        <v>20686433.039999999</v>
      </c>
      <c r="D77" s="95">
        <v>10124203.75</v>
      </c>
      <c r="E77" s="95">
        <v>-2024840.76</v>
      </c>
      <c r="F77" s="95">
        <v>0</v>
      </c>
      <c r="G77" s="95">
        <v>0</v>
      </c>
      <c r="H77" s="95">
        <v>28785796.029999997</v>
      </c>
      <c r="I77" s="95">
        <v>25340033.140000001</v>
      </c>
      <c r="J77" s="96">
        <v>0</v>
      </c>
      <c r="K77" s="95">
        <v>2608028.4300000006</v>
      </c>
      <c r="L77" s="95">
        <v>776639.47</v>
      </c>
      <c r="M77" s="95">
        <v>-2024840.76</v>
      </c>
      <c r="N77" s="95">
        <v>-405696.76</v>
      </c>
      <c r="O77" s="89"/>
      <c r="P77" s="95">
        <v>0</v>
      </c>
      <c r="Q77" s="89"/>
      <c r="R77" s="95">
        <v>0</v>
      </c>
      <c r="S77" s="95">
        <v>0</v>
      </c>
      <c r="T77" s="95">
        <v>0</v>
      </c>
      <c r="U77" s="95">
        <v>954130.38000000035</v>
      </c>
      <c r="V77" s="95">
        <v>1591662.22</v>
      </c>
      <c r="W77" s="96">
        <v>5.000000586733222E-3</v>
      </c>
      <c r="X77" s="99">
        <v>3.1E-2</v>
      </c>
    </row>
    <row r="78" spans="1:24" x14ac:dyDescent="0.3">
      <c r="A78" s="71">
        <v>31441</v>
      </c>
      <c r="B78" s="88" t="s">
        <v>310</v>
      </c>
      <c r="C78" s="95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6">
        <v>0</v>
      </c>
      <c r="K78" s="95">
        <v>0</v>
      </c>
      <c r="L78" s="95">
        <v>0</v>
      </c>
      <c r="M78" s="95">
        <v>0</v>
      </c>
      <c r="N78" s="95">
        <v>0</v>
      </c>
      <c r="O78" s="89"/>
      <c r="P78" s="95">
        <v>0</v>
      </c>
      <c r="Q78" s="89"/>
      <c r="R78" s="95">
        <v>0</v>
      </c>
      <c r="S78" s="95">
        <v>0</v>
      </c>
      <c r="T78" s="95">
        <v>0</v>
      </c>
      <c r="U78" s="95">
        <v>0</v>
      </c>
      <c r="V78" s="95">
        <v>0</v>
      </c>
      <c r="W78" s="96">
        <v>0</v>
      </c>
      <c r="X78" s="99">
        <v>5.8000000000000003E-2</v>
      </c>
    </row>
    <row r="79" spans="1:24" x14ac:dyDescent="0.3">
      <c r="A79" s="71">
        <v>31442</v>
      </c>
      <c r="B79" s="88" t="s">
        <v>311</v>
      </c>
      <c r="C79" s="95">
        <v>0</v>
      </c>
      <c r="D79" s="95">
        <v>0</v>
      </c>
      <c r="E79" s="95">
        <v>0</v>
      </c>
      <c r="F79" s="95">
        <v>0</v>
      </c>
      <c r="G79" s="95">
        <v>0</v>
      </c>
      <c r="H79" s="95">
        <v>0</v>
      </c>
      <c r="I79" s="95">
        <v>0</v>
      </c>
      <c r="J79" s="96">
        <v>0</v>
      </c>
      <c r="K79" s="95">
        <v>0</v>
      </c>
      <c r="L79" s="95">
        <v>0</v>
      </c>
      <c r="M79" s="95">
        <v>0</v>
      </c>
      <c r="N79" s="95">
        <v>0</v>
      </c>
      <c r="O79" s="89"/>
      <c r="P79" s="95">
        <v>0</v>
      </c>
      <c r="Q79" s="89"/>
      <c r="R79" s="95">
        <v>0</v>
      </c>
      <c r="S79" s="95">
        <v>0</v>
      </c>
      <c r="T79" s="95">
        <v>0</v>
      </c>
      <c r="U79" s="95">
        <v>0</v>
      </c>
      <c r="V79" s="95">
        <v>0</v>
      </c>
      <c r="W79" s="96">
        <v>0</v>
      </c>
      <c r="X79" s="99">
        <v>4.1000000000000002E-2</v>
      </c>
    </row>
    <row r="80" spans="1:24" x14ac:dyDescent="0.3">
      <c r="A80" s="71">
        <v>31443</v>
      </c>
      <c r="B80" s="88" t="s">
        <v>312</v>
      </c>
      <c r="C80" s="95">
        <v>0</v>
      </c>
      <c r="D80" s="95">
        <v>0</v>
      </c>
      <c r="E80" s="95">
        <v>0</v>
      </c>
      <c r="F80" s="95">
        <v>0</v>
      </c>
      <c r="G80" s="95">
        <v>0</v>
      </c>
      <c r="H80" s="95">
        <v>0</v>
      </c>
      <c r="I80" s="95">
        <v>0</v>
      </c>
      <c r="J80" s="96">
        <v>0</v>
      </c>
      <c r="K80" s="95">
        <v>0</v>
      </c>
      <c r="L80" s="95">
        <v>0</v>
      </c>
      <c r="M80" s="95">
        <v>0</v>
      </c>
      <c r="N80" s="95">
        <v>0</v>
      </c>
      <c r="O80" s="89"/>
      <c r="P80" s="95">
        <v>0</v>
      </c>
      <c r="Q80" s="89"/>
      <c r="R80" s="95">
        <v>0</v>
      </c>
      <c r="S80" s="95">
        <v>0</v>
      </c>
      <c r="T80" s="95">
        <v>0</v>
      </c>
      <c r="U80" s="95">
        <v>0</v>
      </c>
      <c r="V80" s="95">
        <v>0</v>
      </c>
      <c r="W80" s="96">
        <v>0</v>
      </c>
      <c r="X80" s="99">
        <v>3.7999999999999999E-2</v>
      </c>
    </row>
    <row r="81" spans="1:24" x14ac:dyDescent="0.3">
      <c r="A81" s="71">
        <v>31444</v>
      </c>
      <c r="B81" s="88" t="s">
        <v>313</v>
      </c>
      <c r="C81" s="95">
        <v>113387623.48000005</v>
      </c>
      <c r="D81" s="95">
        <v>8616721.1600000001</v>
      </c>
      <c r="E81" s="95">
        <v>-1723344.21</v>
      </c>
      <c r="F81" s="95">
        <v>0</v>
      </c>
      <c r="G81" s="95">
        <v>0</v>
      </c>
      <c r="H81" s="95">
        <v>120281000.43000005</v>
      </c>
      <c r="I81" s="95">
        <v>118886708.53</v>
      </c>
      <c r="J81" s="96">
        <v>-5.0000101327896118E-3</v>
      </c>
      <c r="K81" s="95">
        <v>51224912.220000021</v>
      </c>
      <c r="L81" s="95">
        <v>3800656.56</v>
      </c>
      <c r="M81" s="95">
        <v>-1723344.21</v>
      </c>
      <c r="N81" s="95">
        <v>-255225.29</v>
      </c>
      <c r="O81" s="89"/>
      <c r="P81" s="95">
        <v>0</v>
      </c>
      <c r="Q81" s="89"/>
      <c r="R81" s="95">
        <v>0</v>
      </c>
      <c r="S81" s="95">
        <v>0</v>
      </c>
      <c r="T81" s="95">
        <v>0</v>
      </c>
      <c r="U81" s="95">
        <v>53046999.280000024</v>
      </c>
      <c r="V81" s="95">
        <v>51619215.789999999</v>
      </c>
      <c r="W81" s="96">
        <v>5.0000101327896118E-3</v>
      </c>
      <c r="X81" s="99">
        <v>3.2000000000000001E-2</v>
      </c>
    </row>
    <row r="82" spans="1:24" x14ac:dyDescent="0.3">
      <c r="A82" s="71">
        <v>31530</v>
      </c>
      <c r="B82" s="88" t="s">
        <v>314</v>
      </c>
      <c r="C82" s="95">
        <v>0</v>
      </c>
      <c r="D82" s="95">
        <v>0</v>
      </c>
      <c r="E82" s="95">
        <v>0</v>
      </c>
      <c r="F82" s="95">
        <v>0</v>
      </c>
      <c r="G82" s="95">
        <v>0</v>
      </c>
      <c r="H82" s="95">
        <v>0</v>
      </c>
      <c r="I82" s="95">
        <v>0</v>
      </c>
      <c r="J82" s="96">
        <v>0</v>
      </c>
      <c r="K82" s="95">
        <v>0</v>
      </c>
      <c r="L82" s="95">
        <v>0</v>
      </c>
      <c r="M82" s="95">
        <v>0</v>
      </c>
      <c r="N82" s="95">
        <v>0</v>
      </c>
      <c r="O82" s="89"/>
      <c r="P82" s="95">
        <v>0</v>
      </c>
      <c r="Q82" s="89"/>
      <c r="R82" s="95">
        <v>0</v>
      </c>
      <c r="S82" s="95">
        <v>0</v>
      </c>
      <c r="T82" s="95">
        <v>0</v>
      </c>
      <c r="U82" s="95">
        <v>0</v>
      </c>
      <c r="V82" s="95">
        <v>0</v>
      </c>
      <c r="W82" s="96">
        <v>0</v>
      </c>
      <c r="X82" s="99">
        <v>0</v>
      </c>
    </row>
    <row r="83" spans="1:24" x14ac:dyDescent="0.3">
      <c r="A83" s="71">
        <v>31531</v>
      </c>
      <c r="B83" s="88" t="s">
        <v>315</v>
      </c>
      <c r="C83" s="95">
        <v>0</v>
      </c>
      <c r="D83" s="95">
        <v>0</v>
      </c>
      <c r="E83" s="95">
        <v>0</v>
      </c>
      <c r="F83" s="95">
        <v>0</v>
      </c>
      <c r="G83" s="95">
        <v>0</v>
      </c>
      <c r="H83" s="95">
        <v>0</v>
      </c>
      <c r="I83" s="95">
        <v>0</v>
      </c>
      <c r="J83" s="96">
        <v>0</v>
      </c>
      <c r="K83" s="95">
        <v>0</v>
      </c>
      <c r="L83" s="95">
        <v>0</v>
      </c>
      <c r="M83" s="95">
        <v>0</v>
      </c>
      <c r="N83" s="95">
        <v>0</v>
      </c>
      <c r="O83" s="89"/>
      <c r="P83" s="95">
        <v>0</v>
      </c>
      <c r="Q83" s="89"/>
      <c r="R83" s="95">
        <v>0</v>
      </c>
      <c r="S83" s="95">
        <v>0</v>
      </c>
      <c r="T83" s="95">
        <v>0</v>
      </c>
      <c r="U83" s="95">
        <v>0</v>
      </c>
      <c r="V83" s="95">
        <v>0</v>
      </c>
      <c r="W83" s="96">
        <v>0</v>
      </c>
      <c r="X83" s="99">
        <v>0</v>
      </c>
    </row>
    <row r="84" spans="1:24" x14ac:dyDescent="0.3">
      <c r="A84" s="71">
        <v>31532</v>
      </c>
      <c r="B84" s="88" t="s">
        <v>316</v>
      </c>
      <c r="C84" s="95">
        <v>0</v>
      </c>
      <c r="D84" s="95">
        <v>0</v>
      </c>
      <c r="E84" s="95">
        <v>0</v>
      </c>
      <c r="F84" s="95">
        <v>0</v>
      </c>
      <c r="G84" s="95">
        <v>0</v>
      </c>
      <c r="H84" s="95">
        <v>0</v>
      </c>
      <c r="I84" s="95">
        <v>0</v>
      </c>
      <c r="J84" s="96">
        <v>0</v>
      </c>
      <c r="K84" s="95">
        <v>0</v>
      </c>
      <c r="L84" s="95">
        <v>0</v>
      </c>
      <c r="M84" s="95">
        <v>0</v>
      </c>
      <c r="N84" s="95">
        <v>0</v>
      </c>
      <c r="O84" s="89"/>
      <c r="P84" s="95">
        <v>0</v>
      </c>
      <c r="Q84" s="89"/>
      <c r="R84" s="95">
        <v>0</v>
      </c>
      <c r="S84" s="95">
        <v>0</v>
      </c>
      <c r="T84" s="95">
        <v>0</v>
      </c>
      <c r="U84" s="95">
        <v>0</v>
      </c>
      <c r="V84" s="95">
        <v>0</v>
      </c>
      <c r="W84" s="96">
        <v>0</v>
      </c>
      <c r="X84" s="99">
        <v>0</v>
      </c>
    </row>
    <row r="85" spans="1:24" x14ac:dyDescent="0.3">
      <c r="A85" s="71">
        <v>31533</v>
      </c>
      <c r="B85" s="88" t="s">
        <v>317</v>
      </c>
      <c r="C85" s="95">
        <v>0</v>
      </c>
      <c r="D85" s="95">
        <v>0</v>
      </c>
      <c r="E85" s="95">
        <v>0</v>
      </c>
      <c r="F85" s="95">
        <v>0</v>
      </c>
      <c r="G85" s="95">
        <v>0</v>
      </c>
      <c r="H85" s="95">
        <v>0</v>
      </c>
      <c r="I85" s="95">
        <v>0</v>
      </c>
      <c r="J85" s="96">
        <v>0</v>
      </c>
      <c r="K85" s="95">
        <v>0</v>
      </c>
      <c r="L85" s="95">
        <v>0</v>
      </c>
      <c r="M85" s="95">
        <v>0</v>
      </c>
      <c r="N85" s="95">
        <v>0</v>
      </c>
      <c r="O85" s="89"/>
      <c r="P85" s="95">
        <v>0</v>
      </c>
      <c r="Q85" s="89"/>
      <c r="R85" s="95">
        <v>0</v>
      </c>
      <c r="S85" s="95">
        <v>0</v>
      </c>
      <c r="T85" s="95">
        <v>0</v>
      </c>
      <c r="U85" s="95">
        <v>0</v>
      </c>
      <c r="V85" s="95">
        <v>0</v>
      </c>
      <c r="W85" s="96">
        <v>0</v>
      </c>
      <c r="X85" s="99">
        <v>0</v>
      </c>
    </row>
    <row r="86" spans="1:24" x14ac:dyDescent="0.3">
      <c r="A86" s="71">
        <v>31534</v>
      </c>
      <c r="B86" s="88" t="s">
        <v>318</v>
      </c>
      <c r="C86" s="95">
        <v>0</v>
      </c>
      <c r="D86" s="95">
        <v>0</v>
      </c>
      <c r="E86" s="95">
        <v>0</v>
      </c>
      <c r="F86" s="95">
        <v>0</v>
      </c>
      <c r="G86" s="95">
        <v>0</v>
      </c>
      <c r="H86" s="95">
        <v>0</v>
      </c>
      <c r="I86" s="95">
        <v>0</v>
      </c>
      <c r="J86" s="96">
        <v>0</v>
      </c>
      <c r="K86" s="95">
        <v>0</v>
      </c>
      <c r="L86" s="95">
        <v>0</v>
      </c>
      <c r="M86" s="95">
        <v>0</v>
      </c>
      <c r="N86" s="95">
        <v>0</v>
      </c>
      <c r="O86" s="89"/>
      <c r="P86" s="95">
        <v>0</v>
      </c>
      <c r="Q86" s="89"/>
      <c r="R86" s="95">
        <v>0</v>
      </c>
      <c r="S86" s="95">
        <v>0</v>
      </c>
      <c r="T86" s="95">
        <v>0</v>
      </c>
      <c r="U86" s="95">
        <v>0</v>
      </c>
      <c r="V86" s="95">
        <v>0</v>
      </c>
      <c r="W86" s="96">
        <v>0</v>
      </c>
      <c r="X86" s="99">
        <v>0</v>
      </c>
    </row>
    <row r="87" spans="1:24" x14ac:dyDescent="0.3">
      <c r="A87" s="71">
        <v>31540</v>
      </c>
      <c r="B87" s="88" t="s">
        <v>319</v>
      </c>
      <c r="C87" s="95">
        <v>43980094.719999999</v>
      </c>
      <c r="D87" s="95">
        <v>0</v>
      </c>
      <c r="E87" s="95">
        <v>0</v>
      </c>
      <c r="F87" s="95">
        <v>0</v>
      </c>
      <c r="G87" s="95">
        <v>0</v>
      </c>
      <c r="H87" s="95">
        <v>43980094.719999999</v>
      </c>
      <c r="I87" s="95">
        <v>43980094.719999999</v>
      </c>
      <c r="J87" s="96">
        <v>0</v>
      </c>
      <c r="K87" s="95">
        <v>18172695.780000016</v>
      </c>
      <c r="L87" s="95">
        <v>1539303.36</v>
      </c>
      <c r="M87" s="95">
        <v>0</v>
      </c>
      <c r="N87" s="95">
        <v>0</v>
      </c>
      <c r="O87" s="89"/>
      <c r="P87" s="95">
        <v>0</v>
      </c>
      <c r="Q87" s="89"/>
      <c r="R87" s="95">
        <v>0</v>
      </c>
      <c r="S87" s="95">
        <v>0</v>
      </c>
      <c r="T87" s="95">
        <v>0</v>
      </c>
      <c r="U87" s="95">
        <v>19711999.140000015</v>
      </c>
      <c r="V87" s="95">
        <v>18942347.460000001</v>
      </c>
      <c r="W87" s="96">
        <v>0</v>
      </c>
      <c r="X87" s="99">
        <v>3.5000000000000003E-2</v>
      </c>
    </row>
    <row r="88" spans="1:24" x14ac:dyDescent="0.3">
      <c r="A88" s="71">
        <v>31541</v>
      </c>
      <c r="B88" s="88" t="s">
        <v>320</v>
      </c>
      <c r="C88" s="95">
        <v>0</v>
      </c>
      <c r="D88" s="95">
        <v>0</v>
      </c>
      <c r="E88" s="95">
        <v>0</v>
      </c>
      <c r="F88" s="95">
        <v>0</v>
      </c>
      <c r="G88" s="95">
        <v>0</v>
      </c>
      <c r="H88" s="95">
        <v>0</v>
      </c>
      <c r="I88" s="95">
        <v>0</v>
      </c>
      <c r="J88" s="96">
        <v>0</v>
      </c>
      <c r="K88" s="95">
        <v>0</v>
      </c>
      <c r="L88" s="95">
        <v>0</v>
      </c>
      <c r="M88" s="95">
        <v>0</v>
      </c>
      <c r="N88" s="95">
        <v>0</v>
      </c>
      <c r="O88" s="89"/>
      <c r="P88" s="95">
        <v>0</v>
      </c>
      <c r="Q88" s="89"/>
      <c r="R88" s="95">
        <v>0</v>
      </c>
      <c r="S88" s="95">
        <v>0</v>
      </c>
      <c r="T88" s="95">
        <v>0</v>
      </c>
      <c r="U88" s="95">
        <v>0</v>
      </c>
      <c r="V88" s="95">
        <v>0</v>
      </c>
      <c r="W88" s="96">
        <v>0</v>
      </c>
      <c r="X88" s="99">
        <v>4.3999999999999997E-2</v>
      </c>
    </row>
    <row r="89" spans="1:24" x14ac:dyDescent="0.3">
      <c r="A89" s="71">
        <v>31542</v>
      </c>
      <c r="B89" s="88" t="s">
        <v>321</v>
      </c>
      <c r="C89" s="95">
        <v>0</v>
      </c>
      <c r="D89" s="95">
        <v>0</v>
      </c>
      <c r="E89" s="95">
        <v>0</v>
      </c>
      <c r="F89" s="95">
        <v>0</v>
      </c>
      <c r="G89" s="95">
        <v>0</v>
      </c>
      <c r="H89" s="95">
        <v>0</v>
      </c>
      <c r="I89" s="95">
        <v>0</v>
      </c>
      <c r="J89" s="96">
        <v>0</v>
      </c>
      <c r="K89" s="95">
        <v>0</v>
      </c>
      <c r="L89" s="95">
        <v>0</v>
      </c>
      <c r="M89" s="95">
        <v>0</v>
      </c>
      <c r="N89" s="95">
        <v>0</v>
      </c>
      <c r="O89" s="89"/>
      <c r="P89" s="95">
        <v>0</v>
      </c>
      <c r="Q89" s="89"/>
      <c r="R89" s="95">
        <v>0</v>
      </c>
      <c r="S89" s="95">
        <v>0</v>
      </c>
      <c r="T89" s="95">
        <v>0</v>
      </c>
      <c r="U89" s="95">
        <v>0</v>
      </c>
      <c r="V89" s="95">
        <v>0</v>
      </c>
      <c r="W89" s="96">
        <v>0</v>
      </c>
      <c r="X89" s="99">
        <v>0.05</v>
      </c>
    </row>
    <row r="90" spans="1:24" x14ac:dyDescent="0.3">
      <c r="A90" s="71">
        <v>31543</v>
      </c>
      <c r="B90" s="88" t="s">
        <v>322</v>
      </c>
      <c r="C90" s="95">
        <v>0</v>
      </c>
      <c r="D90" s="95">
        <v>0</v>
      </c>
      <c r="E90" s="95">
        <v>0</v>
      </c>
      <c r="F90" s="95">
        <v>0</v>
      </c>
      <c r="G90" s="95">
        <v>0</v>
      </c>
      <c r="H90" s="95">
        <v>0</v>
      </c>
      <c r="I90" s="95">
        <v>0</v>
      </c>
      <c r="J90" s="96">
        <v>0</v>
      </c>
      <c r="K90" s="95">
        <v>0</v>
      </c>
      <c r="L90" s="95">
        <v>0</v>
      </c>
      <c r="M90" s="95">
        <v>0</v>
      </c>
      <c r="N90" s="95">
        <v>0</v>
      </c>
      <c r="O90" s="89"/>
      <c r="P90" s="95">
        <v>0</v>
      </c>
      <c r="Q90" s="89"/>
      <c r="R90" s="95">
        <v>0</v>
      </c>
      <c r="S90" s="95">
        <v>0</v>
      </c>
      <c r="T90" s="95">
        <v>0</v>
      </c>
      <c r="U90" s="95">
        <v>0</v>
      </c>
      <c r="V90" s="95">
        <v>0</v>
      </c>
      <c r="W90" s="96">
        <v>0</v>
      </c>
      <c r="X90" s="99">
        <v>3.3000000000000002E-2</v>
      </c>
    </row>
    <row r="91" spans="1:24" x14ac:dyDescent="0.3">
      <c r="A91" s="71">
        <v>31544</v>
      </c>
      <c r="B91" s="88" t="s">
        <v>323</v>
      </c>
      <c r="C91" s="95">
        <v>52859494.079999998</v>
      </c>
      <c r="D91" s="95">
        <v>0</v>
      </c>
      <c r="E91" s="95">
        <v>0</v>
      </c>
      <c r="F91" s="95">
        <v>0</v>
      </c>
      <c r="G91" s="95">
        <v>0</v>
      </c>
      <c r="H91" s="95">
        <v>52859494.079999998</v>
      </c>
      <c r="I91" s="95">
        <v>52859494.079999998</v>
      </c>
      <c r="J91" s="96">
        <v>0</v>
      </c>
      <c r="K91" s="95">
        <v>32717314.679999996</v>
      </c>
      <c r="L91" s="95">
        <v>1532925.36</v>
      </c>
      <c r="M91" s="95">
        <v>0</v>
      </c>
      <c r="N91" s="95">
        <v>0</v>
      </c>
      <c r="O91" s="89"/>
      <c r="P91" s="95">
        <v>0</v>
      </c>
      <c r="Q91" s="89"/>
      <c r="R91" s="95">
        <v>0</v>
      </c>
      <c r="S91" s="95">
        <v>0</v>
      </c>
      <c r="T91" s="95">
        <v>0</v>
      </c>
      <c r="U91" s="95">
        <v>34250240.039999999</v>
      </c>
      <c r="V91" s="95">
        <v>33483777.359999999</v>
      </c>
      <c r="W91" s="96">
        <v>0</v>
      </c>
      <c r="X91" s="99">
        <v>2.9000000000000001E-2</v>
      </c>
    </row>
    <row r="92" spans="1:24" x14ac:dyDescent="0.3">
      <c r="A92" s="71">
        <v>31545</v>
      </c>
      <c r="B92" s="88" t="s">
        <v>324</v>
      </c>
      <c r="C92" s="95">
        <v>25986695.150000002</v>
      </c>
      <c r="D92" s="95">
        <v>1078810.97</v>
      </c>
      <c r="E92" s="95">
        <v>-215762.19</v>
      </c>
      <c r="F92" s="95">
        <v>0</v>
      </c>
      <c r="G92" s="95">
        <v>0</v>
      </c>
      <c r="H92" s="95">
        <v>26849743.93</v>
      </c>
      <c r="I92" s="95">
        <v>26461554.629999999</v>
      </c>
      <c r="J92" s="96">
        <v>0</v>
      </c>
      <c r="K92" s="95">
        <v>17338096.960000008</v>
      </c>
      <c r="L92" s="95">
        <v>634300.93000000005</v>
      </c>
      <c r="M92" s="95">
        <v>-215762.19</v>
      </c>
      <c r="N92" s="95">
        <v>-116558.2</v>
      </c>
      <c r="O92" s="89"/>
      <c r="P92" s="95">
        <v>0</v>
      </c>
      <c r="Q92" s="89"/>
      <c r="R92" s="95">
        <v>0</v>
      </c>
      <c r="S92" s="95">
        <v>0</v>
      </c>
      <c r="T92" s="95">
        <v>0</v>
      </c>
      <c r="U92" s="95">
        <v>17640077.500000007</v>
      </c>
      <c r="V92" s="95">
        <v>17497304.899999999</v>
      </c>
      <c r="W92" s="96">
        <v>0</v>
      </c>
      <c r="X92" s="99">
        <v>2.4E-2</v>
      </c>
    </row>
    <row r="93" spans="1:24" x14ac:dyDescent="0.3">
      <c r="A93" s="71">
        <v>31546</v>
      </c>
      <c r="B93" s="88" t="s">
        <v>325</v>
      </c>
      <c r="C93" s="95">
        <v>0</v>
      </c>
      <c r="D93" s="95">
        <v>0</v>
      </c>
      <c r="E93" s="95">
        <v>0</v>
      </c>
      <c r="F93" s="95">
        <v>0</v>
      </c>
      <c r="G93" s="95">
        <v>0</v>
      </c>
      <c r="H93" s="95">
        <v>0</v>
      </c>
      <c r="I93" s="95">
        <v>0</v>
      </c>
      <c r="J93" s="96">
        <v>0</v>
      </c>
      <c r="K93" s="95">
        <v>0</v>
      </c>
      <c r="L93" s="95">
        <v>0</v>
      </c>
      <c r="M93" s="95">
        <v>0</v>
      </c>
      <c r="N93" s="95">
        <v>0</v>
      </c>
      <c r="O93" s="89"/>
      <c r="P93" s="95">
        <v>0</v>
      </c>
      <c r="Q93" s="89"/>
      <c r="R93" s="95">
        <v>0</v>
      </c>
      <c r="S93" s="95">
        <v>0</v>
      </c>
      <c r="T93" s="95">
        <v>0</v>
      </c>
      <c r="U93" s="95">
        <v>0</v>
      </c>
      <c r="V93" s="95">
        <v>0</v>
      </c>
      <c r="W93" s="96">
        <v>0</v>
      </c>
      <c r="X93" s="99">
        <v>3.5000000000000003E-2</v>
      </c>
    </row>
    <row r="94" spans="1:24" x14ac:dyDescent="0.3">
      <c r="A94" s="71">
        <v>31551</v>
      </c>
      <c r="B94" s="88" t="s">
        <v>326</v>
      </c>
      <c r="C94" s="95">
        <v>0</v>
      </c>
      <c r="D94" s="95">
        <v>0</v>
      </c>
      <c r="E94" s="95">
        <v>0</v>
      </c>
      <c r="F94" s="95">
        <v>0</v>
      </c>
      <c r="G94" s="95">
        <v>0</v>
      </c>
      <c r="H94" s="95">
        <v>0</v>
      </c>
      <c r="I94" s="95">
        <v>0</v>
      </c>
      <c r="J94" s="96">
        <v>0</v>
      </c>
      <c r="K94" s="95">
        <v>0</v>
      </c>
      <c r="L94" s="95">
        <v>0</v>
      </c>
      <c r="M94" s="95">
        <v>0</v>
      </c>
      <c r="N94" s="95">
        <v>0</v>
      </c>
      <c r="O94" s="89"/>
      <c r="P94" s="95">
        <v>0</v>
      </c>
      <c r="Q94" s="89"/>
      <c r="R94" s="95">
        <v>0</v>
      </c>
      <c r="S94" s="95">
        <v>0</v>
      </c>
      <c r="T94" s="95">
        <v>0</v>
      </c>
      <c r="U94" s="95">
        <v>0</v>
      </c>
      <c r="V94" s="95">
        <v>0</v>
      </c>
      <c r="W94" s="96">
        <v>0</v>
      </c>
      <c r="X94" s="99">
        <v>0.04</v>
      </c>
    </row>
    <row r="95" spans="1:24" x14ac:dyDescent="0.3">
      <c r="A95" s="71">
        <v>31552</v>
      </c>
      <c r="B95" s="88" t="s">
        <v>327</v>
      </c>
      <c r="C95" s="95">
        <v>0</v>
      </c>
      <c r="D95" s="95">
        <v>0</v>
      </c>
      <c r="E95" s="95">
        <v>0</v>
      </c>
      <c r="F95" s="95">
        <v>0</v>
      </c>
      <c r="G95" s="95">
        <v>0</v>
      </c>
      <c r="H95" s="95">
        <v>0</v>
      </c>
      <c r="I95" s="95">
        <v>0</v>
      </c>
      <c r="J95" s="96">
        <v>0</v>
      </c>
      <c r="K95" s="95">
        <v>0</v>
      </c>
      <c r="L95" s="95">
        <v>0</v>
      </c>
      <c r="M95" s="95">
        <v>0</v>
      </c>
      <c r="N95" s="95">
        <v>0</v>
      </c>
      <c r="O95" s="89"/>
      <c r="P95" s="95">
        <v>0</v>
      </c>
      <c r="Q95" s="89"/>
      <c r="R95" s="95">
        <v>0</v>
      </c>
      <c r="S95" s="95">
        <v>0</v>
      </c>
      <c r="T95" s="95">
        <v>0</v>
      </c>
      <c r="U95" s="95">
        <v>0</v>
      </c>
      <c r="V95" s="95">
        <v>0</v>
      </c>
      <c r="W95" s="96">
        <v>0</v>
      </c>
      <c r="X95" s="99">
        <v>3.6999999999999998E-2</v>
      </c>
    </row>
    <row r="96" spans="1:24" x14ac:dyDescent="0.3">
      <c r="A96" s="71">
        <v>31553</v>
      </c>
      <c r="B96" s="88" t="s">
        <v>328</v>
      </c>
      <c r="C96" s="95">
        <v>0</v>
      </c>
      <c r="D96" s="95">
        <v>0</v>
      </c>
      <c r="E96" s="95">
        <v>0</v>
      </c>
      <c r="F96" s="95">
        <v>0</v>
      </c>
      <c r="G96" s="95">
        <v>0</v>
      </c>
      <c r="H96" s="95">
        <v>0</v>
      </c>
      <c r="I96" s="95">
        <v>0</v>
      </c>
      <c r="J96" s="96">
        <v>0</v>
      </c>
      <c r="K96" s="95">
        <v>0</v>
      </c>
      <c r="L96" s="95">
        <v>0</v>
      </c>
      <c r="M96" s="95">
        <v>0</v>
      </c>
      <c r="N96" s="95">
        <v>0</v>
      </c>
      <c r="O96" s="89"/>
      <c r="P96" s="95">
        <v>0</v>
      </c>
      <c r="Q96" s="89"/>
      <c r="R96" s="95">
        <v>0</v>
      </c>
      <c r="S96" s="95">
        <v>0</v>
      </c>
      <c r="T96" s="95">
        <v>0</v>
      </c>
      <c r="U96" s="95">
        <v>0</v>
      </c>
      <c r="V96" s="95">
        <v>0</v>
      </c>
      <c r="W96" s="96">
        <v>0</v>
      </c>
      <c r="X96" s="99">
        <v>3.2000000000000001E-2</v>
      </c>
    </row>
    <row r="97" spans="1:24" x14ac:dyDescent="0.3">
      <c r="A97" s="71">
        <v>31554</v>
      </c>
      <c r="B97" s="88" t="s">
        <v>329</v>
      </c>
      <c r="C97" s="95">
        <v>15474057.879999999</v>
      </c>
      <c r="D97" s="95">
        <v>26884.51</v>
      </c>
      <c r="E97" s="95">
        <v>-5376.9</v>
      </c>
      <c r="F97" s="95">
        <v>0</v>
      </c>
      <c r="G97" s="95">
        <v>0</v>
      </c>
      <c r="H97" s="95">
        <v>15495565.489999998</v>
      </c>
      <c r="I97" s="95">
        <v>15487293.33</v>
      </c>
      <c r="J97" s="96">
        <v>-4.9999989569187164E-3</v>
      </c>
      <c r="K97" s="95">
        <v>9601670.5600000098</v>
      </c>
      <c r="L97" s="95">
        <v>433624.94</v>
      </c>
      <c r="M97" s="95">
        <v>-5376.9</v>
      </c>
      <c r="N97" s="95">
        <v>0</v>
      </c>
      <c r="O97" s="89"/>
      <c r="P97" s="95">
        <v>0</v>
      </c>
      <c r="Q97" s="89"/>
      <c r="R97" s="95">
        <v>0</v>
      </c>
      <c r="S97" s="95">
        <v>0</v>
      </c>
      <c r="T97" s="95">
        <v>0</v>
      </c>
      <c r="U97" s="95">
        <v>10029918.600000009</v>
      </c>
      <c r="V97" s="95">
        <v>9815106.6199999992</v>
      </c>
      <c r="W97" s="96">
        <v>0</v>
      </c>
      <c r="X97" s="99">
        <v>2.8000000000000001E-2</v>
      </c>
    </row>
    <row r="98" spans="1:24" x14ac:dyDescent="0.3">
      <c r="A98" s="71">
        <v>31601</v>
      </c>
      <c r="B98" s="88" t="s">
        <v>330</v>
      </c>
      <c r="C98" s="95">
        <v>0</v>
      </c>
      <c r="D98" s="95">
        <v>0</v>
      </c>
      <c r="E98" s="95">
        <v>0</v>
      </c>
      <c r="F98" s="95">
        <v>0</v>
      </c>
      <c r="G98" s="95">
        <v>0</v>
      </c>
      <c r="H98" s="95">
        <v>0</v>
      </c>
      <c r="I98" s="95">
        <v>0</v>
      </c>
      <c r="J98" s="96">
        <v>0</v>
      </c>
      <c r="K98" s="95">
        <v>0</v>
      </c>
      <c r="L98" s="95">
        <v>0</v>
      </c>
      <c r="M98" s="95">
        <v>0</v>
      </c>
      <c r="N98" s="95">
        <v>0</v>
      </c>
      <c r="O98" s="89"/>
      <c r="P98" s="95">
        <v>0</v>
      </c>
      <c r="Q98" s="89"/>
      <c r="R98" s="95">
        <v>0</v>
      </c>
      <c r="S98" s="95">
        <v>0</v>
      </c>
      <c r="T98" s="95">
        <v>0</v>
      </c>
      <c r="U98" s="95">
        <v>0</v>
      </c>
      <c r="V98" s="95">
        <v>0</v>
      </c>
      <c r="W98" s="96">
        <v>0</v>
      </c>
      <c r="X98" s="99">
        <v>0</v>
      </c>
    </row>
    <row r="99" spans="1:24" x14ac:dyDescent="0.3">
      <c r="A99" s="71">
        <v>31617</v>
      </c>
      <c r="B99" s="88" t="s">
        <v>331</v>
      </c>
      <c r="C99" s="95">
        <v>0</v>
      </c>
      <c r="D99" s="95">
        <v>0</v>
      </c>
      <c r="E99" s="95">
        <v>0</v>
      </c>
      <c r="F99" s="95">
        <v>0</v>
      </c>
      <c r="G99" s="95">
        <v>0</v>
      </c>
      <c r="H99" s="95">
        <v>0</v>
      </c>
      <c r="I99" s="95">
        <v>0</v>
      </c>
      <c r="J99" s="96">
        <v>0</v>
      </c>
      <c r="K99" s="95">
        <v>0</v>
      </c>
      <c r="L99" s="95">
        <v>0</v>
      </c>
      <c r="M99" s="95">
        <v>0</v>
      </c>
      <c r="N99" s="95">
        <v>0</v>
      </c>
      <c r="O99" s="89"/>
      <c r="P99" s="95">
        <v>0</v>
      </c>
      <c r="Q99" s="89"/>
      <c r="R99" s="95">
        <v>0</v>
      </c>
      <c r="S99" s="95">
        <v>0</v>
      </c>
      <c r="T99" s="95">
        <v>0</v>
      </c>
      <c r="U99" s="95">
        <v>0</v>
      </c>
      <c r="V99" s="95">
        <v>0</v>
      </c>
      <c r="W99" s="96">
        <v>0</v>
      </c>
      <c r="X99" s="99">
        <v>0.14299999999999999</v>
      </c>
    </row>
    <row r="100" spans="1:24" x14ac:dyDescent="0.3">
      <c r="A100" s="71">
        <v>31630</v>
      </c>
      <c r="B100" s="88" t="s">
        <v>332</v>
      </c>
      <c r="C100" s="95">
        <v>0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6">
        <v>0</v>
      </c>
      <c r="K100" s="95">
        <v>0</v>
      </c>
      <c r="L100" s="95">
        <v>0</v>
      </c>
      <c r="M100" s="95">
        <v>0</v>
      </c>
      <c r="N100" s="95">
        <v>0</v>
      </c>
      <c r="O100" s="89"/>
      <c r="P100" s="95">
        <v>0</v>
      </c>
      <c r="Q100" s="89"/>
      <c r="R100" s="95">
        <v>0</v>
      </c>
      <c r="S100" s="95">
        <v>0</v>
      </c>
      <c r="T100" s="95">
        <v>0</v>
      </c>
      <c r="U100" s="95">
        <v>0</v>
      </c>
      <c r="V100" s="95">
        <v>0</v>
      </c>
      <c r="W100" s="96">
        <v>0</v>
      </c>
      <c r="X100" s="99">
        <v>0</v>
      </c>
    </row>
    <row r="101" spans="1:24" x14ac:dyDescent="0.3">
      <c r="A101" s="71">
        <v>31631</v>
      </c>
      <c r="B101" s="88" t="s">
        <v>333</v>
      </c>
      <c r="C101" s="95">
        <v>0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  <c r="I101" s="95">
        <v>0</v>
      </c>
      <c r="J101" s="96">
        <v>0</v>
      </c>
      <c r="K101" s="95">
        <v>0</v>
      </c>
      <c r="L101" s="95">
        <v>0</v>
      </c>
      <c r="M101" s="95">
        <v>0</v>
      </c>
      <c r="N101" s="95">
        <v>0</v>
      </c>
      <c r="O101" s="89"/>
      <c r="P101" s="95">
        <v>0</v>
      </c>
      <c r="Q101" s="89"/>
      <c r="R101" s="95">
        <v>0</v>
      </c>
      <c r="S101" s="95">
        <v>0</v>
      </c>
      <c r="T101" s="95">
        <v>0</v>
      </c>
      <c r="U101" s="95">
        <v>0</v>
      </c>
      <c r="V101" s="95">
        <v>0</v>
      </c>
      <c r="W101" s="96">
        <v>0</v>
      </c>
      <c r="X101" s="99">
        <v>0</v>
      </c>
    </row>
    <row r="102" spans="1:24" x14ac:dyDescent="0.3">
      <c r="A102" s="71">
        <v>31632</v>
      </c>
      <c r="B102" s="88" t="s">
        <v>334</v>
      </c>
      <c r="C102" s="95">
        <v>0</v>
      </c>
      <c r="D102" s="95">
        <v>0</v>
      </c>
      <c r="E102" s="95">
        <v>0</v>
      </c>
      <c r="F102" s="95">
        <v>0</v>
      </c>
      <c r="G102" s="95">
        <v>0</v>
      </c>
      <c r="H102" s="95">
        <v>0</v>
      </c>
      <c r="I102" s="95">
        <v>0</v>
      </c>
      <c r="J102" s="96">
        <v>0</v>
      </c>
      <c r="K102" s="95">
        <v>0</v>
      </c>
      <c r="L102" s="95">
        <v>0</v>
      </c>
      <c r="M102" s="95">
        <v>0</v>
      </c>
      <c r="N102" s="95">
        <v>0</v>
      </c>
      <c r="O102" s="89"/>
      <c r="P102" s="95">
        <v>0</v>
      </c>
      <c r="Q102" s="89"/>
      <c r="R102" s="95">
        <v>0</v>
      </c>
      <c r="S102" s="95">
        <v>0</v>
      </c>
      <c r="T102" s="95">
        <v>0</v>
      </c>
      <c r="U102" s="95">
        <v>0</v>
      </c>
      <c r="V102" s="95">
        <v>0</v>
      </c>
      <c r="W102" s="96">
        <v>0</v>
      </c>
      <c r="X102" s="99">
        <v>0</v>
      </c>
    </row>
    <row r="103" spans="1:24" x14ac:dyDescent="0.3">
      <c r="A103" s="71">
        <v>31633</v>
      </c>
      <c r="B103" s="88" t="s">
        <v>335</v>
      </c>
      <c r="C103" s="95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95">
        <v>0</v>
      </c>
      <c r="J103" s="96">
        <v>0</v>
      </c>
      <c r="K103" s="95">
        <v>0</v>
      </c>
      <c r="L103" s="95">
        <v>0</v>
      </c>
      <c r="M103" s="95">
        <v>0</v>
      </c>
      <c r="N103" s="95">
        <v>0</v>
      </c>
      <c r="O103" s="89"/>
      <c r="P103" s="95">
        <v>0</v>
      </c>
      <c r="Q103" s="89"/>
      <c r="R103" s="95">
        <v>0</v>
      </c>
      <c r="S103" s="95">
        <v>0</v>
      </c>
      <c r="T103" s="95">
        <v>0</v>
      </c>
      <c r="U103" s="95">
        <v>0</v>
      </c>
      <c r="V103" s="95">
        <v>0</v>
      </c>
      <c r="W103" s="96">
        <v>0</v>
      </c>
      <c r="X103" s="99">
        <v>0</v>
      </c>
    </row>
    <row r="104" spans="1:24" x14ac:dyDescent="0.3">
      <c r="A104" s="71">
        <v>31634</v>
      </c>
      <c r="B104" s="88" t="s">
        <v>336</v>
      </c>
      <c r="C104" s="95">
        <v>0</v>
      </c>
      <c r="D104" s="95">
        <v>0</v>
      </c>
      <c r="E104" s="95">
        <v>0</v>
      </c>
      <c r="F104" s="95">
        <v>0</v>
      </c>
      <c r="G104" s="95">
        <v>0</v>
      </c>
      <c r="H104" s="95">
        <v>0</v>
      </c>
      <c r="I104" s="95">
        <v>0</v>
      </c>
      <c r="J104" s="96">
        <v>0</v>
      </c>
      <c r="K104" s="95">
        <v>0</v>
      </c>
      <c r="L104" s="95">
        <v>0</v>
      </c>
      <c r="M104" s="95">
        <v>0</v>
      </c>
      <c r="N104" s="95">
        <v>0</v>
      </c>
      <c r="O104" s="89"/>
      <c r="P104" s="95">
        <v>0</v>
      </c>
      <c r="Q104" s="89"/>
      <c r="R104" s="95">
        <v>0</v>
      </c>
      <c r="S104" s="95">
        <v>0</v>
      </c>
      <c r="T104" s="95">
        <v>0</v>
      </c>
      <c r="U104" s="95">
        <v>0</v>
      </c>
      <c r="V104" s="95">
        <v>0</v>
      </c>
      <c r="W104" s="96">
        <v>0</v>
      </c>
      <c r="X104" s="99">
        <v>0</v>
      </c>
    </row>
    <row r="105" spans="1:24" x14ac:dyDescent="0.3">
      <c r="A105" s="71">
        <v>31640</v>
      </c>
      <c r="B105" s="88" t="s">
        <v>337</v>
      </c>
      <c r="C105" s="95">
        <v>26448498.799999997</v>
      </c>
      <c r="D105" s="95">
        <v>0</v>
      </c>
      <c r="E105" s="95">
        <v>0</v>
      </c>
      <c r="F105" s="95">
        <v>0</v>
      </c>
      <c r="G105" s="95">
        <v>0</v>
      </c>
      <c r="H105" s="95">
        <v>26448498.799999997</v>
      </c>
      <c r="I105" s="95">
        <v>26448498.800000001</v>
      </c>
      <c r="J105" s="96">
        <v>0</v>
      </c>
      <c r="K105" s="95">
        <v>10921360.800000003</v>
      </c>
      <c r="L105" s="95">
        <v>872800.44</v>
      </c>
      <c r="M105" s="95">
        <v>0</v>
      </c>
      <c r="N105" s="95">
        <v>0</v>
      </c>
      <c r="O105" s="89"/>
      <c r="P105" s="95">
        <v>0</v>
      </c>
      <c r="Q105" s="89"/>
      <c r="R105" s="95">
        <v>0</v>
      </c>
      <c r="S105" s="95">
        <v>0</v>
      </c>
      <c r="T105" s="95">
        <v>0</v>
      </c>
      <c r="U105" s="95">
        <v>11794161.240000002</v>
      </c>
      <c r="V105" s="95">
        <v>11357761.02</v>
      </c>
      <c r="W105" s="96">
        <v>0</v>
      </c>
      <c r="X105" s="99">
        <v>3.3000000000000002E-2</v>
      </c>
    </row>
    <row r="106" spans="1:24" x14ac:dyDescent="0.3">
      <c r="A106" s="71">
        <v>31641</v>
      </c>
      <c r="B106" s="88" t="s">
        <v>338</v>
      </c>
      <c r="C106" s="95">
        <v>0</v>
      </c>
      <c r="D106" s="95">
        <v>0</v>
      </c>
      <c r="E106" s="95">
        <v>0</v>
      </c>
      <c r="F106" s="95">
        <v>0</v>
      </c>
      <c r="G106" s="95">
        <v>0</v>
      </c>
      <c r="H106" s="95">
        <v>0</v>
      </c>
      <c r="I106" s="95">
        <v>0</v>
      </c>
      <c r="J106" s="96">
        <v>0</v>
      </c>
      <c r="K106" s="95">
        <v>0</v>
      </c>
      <c r="L106" s="95">
        <v>0</v>
      </c>
      <c r="M106" s="95">
        <v>0</v>
      </c>
      <c r="N106" s="95">
        <v>0</v>
      </c>
      <c r="O106" s="89"/>
      <c r="P106" s="95">
        <v>0</v>
      </c>
      <c r="Q106" s="89"/>
      <c r="R106" s="95">
        <v>0</v>
      </c>
      <c r="S106" s="95">
        <v>0</v>
      </c>
      <c r="T106" s="95">
        <v>0</v>
      </c>
      <c r="U106" s="95">
        <v>0</v>
      </c>
      <c r="V106" s="95">
        <v>0</v>
      </c>
      <c r="W106" s="96">
        <v>0</v>
      </c>
      <c r="X106" s="99">
        <v>3.5999999999999997E-2</v>
      </c>
    </row>
    <row r="107" spans="1:24" x14ac:dyDescent="0.3">
      <c r="A107" s="71">
        <v>31642</v>
      </c>
      <c r="B107" s="88" t="s">
        <v>339</v>
      </c>
      <c r="C107" s="95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95">
        <v>0</v>
      </c>
      <c r="J107" s="96">
        <v>0</v>
      </c>
      <c r="K107" s="95">
        <v>0</v>
      </c>
      <c r="L107" s="95">
        <v>0</v>
      </c>
      <c r="M107" s="95">
        <v>0</v>
      </c>
      <c r="N107" s="95">
        <v>0</v>
      </c>
      <c r="O107" s="89"/>
      <c r="P107" s="95">
        <v>0</v>
      </c>
      <c r="Q107" s="89"/>
      <c r="R107" s="95">
        <v>0</v>
      </c>
      <c r="S107" s="95">
        <v>0</v>
      </c>
      <c r="T107" s="95">
        <v>0</v>
      </c>
      <c r="U107" s="95">
        <v>0</v>
      </c>
      <c r="V107" s="95">
        <v>0</v>
      </c>
      <c r="W107" s="96">
        <v>0</v>
      </c>
      <c r="X107" s="99">
        <v>1.4E-2</v>
      </c>
    </row>
    <row r="108" spans="1:24" x14ac:dyDescent="0.3">
      <c r="A108" s="71">
        <v>31643</v>
      </c>
      <c r="B108" s="88" t="s">
        <v>340</v>
      </c>
      <c r="C108" s="95">
        <v>0</v>
      </c>
      <c r="D108" s="95">
        <v>0</v>
      </c>
      <c r="E108" s="95">
        <v>0</v>
      </c>
      <c r="F108" s="95">
        <v>0</v>
      </c>
      <c r="G108" s="95">
        <v>0</v>
      </c>
      <c r="H108" s="95">
        <v>0</v>
      </c>
      <c r="I108" s="95">
        <v>0</v>
      </c>
      <c r="J108" s="96">
        <v>0</v>
      </c>
      <c r="K108" s="95">
        <v>0</v>
      </c>
      <c r="L108" s="95">
        <v>0</v>
      </c>
      <c r="M108" s="95">
        <v>0</v>
      </c>
      <c r="N108" s="95">
        <v>0</v>
      </c>
      <c r="O108" s="89"/>
      <c r="P108" s="95">
        <v>0</v>
      </c>
      <c r="Q108" s="89"/>
      <c r="R108" s="95">
        <v>0</v>
      </c>
      <c r="S108" s="95">
        <v>0</v>
      </c>
      <c r="T108" s="95">
        <v>0</v>
      </c>
      <c r="U108" s="95">
        <v>0</v>
      </c>
      <c r="V108" s="95">
        <v>0</v>
      </c>
      <c r="W108" s="96">
        <v>0</v>
      </c>
      <c r="X108" s="99">
        <v>3.5999999999999997E-2</v>
      </c>
    </row>
    <row r="109" spans="1:24" x14ac:dyDescent="0.3">
      <c r="A109" s="71">
        <v>31644</v>
      </c>
      <c r="B109" s="88" t="s">
        <v>341</v>
      </c>
      <c r="C109" s="95">
        <v>5865811.79</v>
      </c>
      <c r="D109" s="95">
        <v>0</v>
      </c>
      <c r="E109" s="95">
        <v>0</v>
      </c>
      <c r="F109" s="95">
        <v>0</v>
      </c>
      <c r="G109" s="95">
        <v>0</v>
      </c>
      <c r="H109" s="95">
        <v>5865811.79</v>
      </c>
      <c r="I109" s="95">
        <v>5865811.79</v>
      </c>
      <c r="J109" s="96">
        <v>0</v>
      </c>
      <c r="K109" s="95">
        <v>4294096.2699999996</v>
      </c>
      <c r="L109" s="95">
        <v>105584.64</v>
      </c>
      <c r="M109" s="95">
        <v>0</v>
      </c>
      <c r="N109" s="95">
        <v>0</v>
      </c>
      <c r="O109" s="89"/>
      <c r="P109" s="95">
        <v>0</v>
      </c>
      <c r="Q109" s="89"/>
      <c r="R109" s="95">
        <v>0</v>
      </c>
      <c r="S109" s="95">
        <v>0</v>
      </c>
      <c r="T109" s="95">
        <v>0</v>
      </c>
      <c r="U109" s="95">
        <v>4399680.9099999992</v>
      </c>
      <c r="V109" s="95">
        <v>4346888.59</v>
      </c>
      <c r="W109" s="96">
        <v>0</v>
      </c>
      <c r="X109" s="99">
        <v>1.7999999999999999E-2</v>
      </c>
    </row>
    <row r="110" spans="1:24" x14ac:dyDescent="0.3">
      <c r="A110" s="71">
        <v>31645</v>
      </c>
      <c r="B110" s="88" t="s">
        <v>342</v>
      </c>
      <c r="C110" s="95">
        <v>1694847.9500000002</v>
      </c>
      <c r="D110" s="95">
        <v>0</v>
      </c>
      <c r="E110" s="95">
        <v>0</v>
      </c>
      <c r="F110" s="95">
        <v>0</v>
      </c>
      <c r="G110" s="95">
        <v>0</v>
      </c>
      <c r="H110" s="95">
        <v>1694847.9500000002</v>
      </c>
      <c r="I110" s="95">
        <v>1694847.95</v>
      </c>
      <c r="J110" s="96">
        <v>0</v>
      </c>
      <c r="K110" s="95">
        <v>1268714.2799999986</v>
      </c>
      <c r="L110" s="95">
        <v>10169.040000000001</v>
      </c>
      <c r="M110" s="95">
        <v>0</v>
      </c>
      <c r="N110" s="95">
        <v>0</v>
      </c>
      <c r="O110" s="89"/>
      <c r="P110" s="95">
        <v>0</v>
      </c>
      <c r="Q110" s="89"/>
      <c r="R110" s="95">
        <v>0</v>
      </c>
      <c r="S110" s="95">
        <v>0</v>
      </c>
      <c r="T110" s="95">
        <v>0</v>
      </c>
      <c r="U110" s="95">
        <v>1278883.3199999987</v>
      </c>
      <c r="V110" s="95">
        <v>1273798.8</v>
      </c>
      <c r="W110" s="96">
        <v>0</v>
      </c>
      <c r="X110" s="99">
        <v>6.0000000000000001E-3</v>
      </c>
    </row>
    <row r="111" spans="1:24" x14ac:dyDescent="0.3">
      <c r="A111" s="71">
        <v>31646</v>
      </c>
      <c r="B111" s="88" t="s">
        <v>343</v>
      </c>
      <c r="C111" s="95">
        <v>0</v>
      </c>
      <c r="D111" s="95">
        <v>0</v>
      </c>
      <c r="E111" s="95">
        <v>0</v>
      </c>
      <c r="F111" s="95">
        <v>0</v>
      </c>
      <c r="G111" s="95">
        <v>0</v>
      </c>
      <c r="H111" s="95">
        <v>0</v>
      </c>
      <c r="I111" s="95">
        <v>0</v>
      </c>
      <c r="J111" s="96">
        <v>0</v>
      </c>
      <c r="K111" s="95">
        <v>0</v>
      </c>
      <c r="L111" s="95">
        <v>0</v>
      </c>
      <c r="M111" s="95">
        <v>0</v>
      </c>
      <c r="N111" s="95">
        <v>0</v>
      </c>
      <c r="O111" s="89"/>
      <c r="P111" s="95">
        <v>0</v>
      </c>
      <c r="Q111" s="89"/>
      <c r="R111" s="95">
        <v>0</v>
      </c>
      <c r="S111" s="95">
        <v>0</v>
      </c>
      <c r="T111" s="95">
        <v>0</v>
      </c>
      <c r="U111" s="95">
        <v>0</v>
      </c>
      <c r="V111" s="95">
        <v>0</v>
      </c>
      <c r="W111" s="96">
        <v>0</v>
      </c>
      <c r="X111" s="99">
        <v>2.7E-2</v>
      </c>
    </row>
    <row r="112" spans="1:24" x14ac:dyDescent="0.3">
      <c r="A112" s="71">
        <v>31647</v>
      </c>
      <c r="B112" s="88" t="s">
        <v>344</v>
      </c>
      <c r="C112" s="95">
        <v>841207.83000000019</v>
      </c>
      <c r="D112" s="95">
        <v>0</v>
      </c>
      <c r="E112" s="95">
        <v>-75713.58</v>
      </c>
      <c r="F112" s="95">
        <v>0</v>
      </c>
      <c r="G112" s="95">
        <v>0</v>
      </c>
      <c r="H112" s="95">
        <v>765494.25000000023</v>
      </c>
      <c r="I112" s="95">
        <v>776584.96</v>
      </c>
      <c r="J112" s="96">
        <v>0</v>
      </c>
      <c r="K112" s="95">
        <v>277102.00999999989</v>
      </c>
      <c r="L112" s="95">
        <v>111183.81</v>
      </c>
      <c r="M112" s="95">
        <v>-75713.58</v>
      </c>
      <c r="N112" s="95">
        <v>0</v>
      </c>
      <c r="O112" s="89"/>
      <c r="P112" s="95">
        <v>0</v>
      </c>
      <c r="Q112" s="89"/>
      <c r="R112" s="95">
        <v>0</v>
      </c>
      <c r="S112" s="95">
        <v>0</v>
      </c>
      <c r="T112" s="95">
        <v>0</v>
      </c>
      <c r="U112" s="95">
        <v>312572.23999999987</v>
      </c>
      <c r="V112" s="95">
        <v>268735.18</v>
      </c>
      <c r="W112" s="96">
        <v>0</v>
      </c>
      <c r="X112" s="99">
        <v>0.14299999999999999</v>
      </c>
    </row>
    <row r="113" spans="1:24" x14ac:dyDescent="0.3">
      <c r="A113" s="71">
        <v>31651</v>
      </c>
      <c r="B113" s="88" t="s">
        <v>345</v>
      </c>
      <c r="C113" s="95">
        <v>0</v>
      </c>
      <c r="D113" s="95">
        <v>0</v>
      </c>
      <c r="E113" s="95">
        <v>0</v>
      </c>
      <c r="F113" s="95">
        <v>0</v>
      </c>
      <c r="G113" s="95">
        <v>0</v>
      </c>
      <c r="H113" s="95">
        <v>0</v>
      </c>
      <c r="I113" s="95">
        <v>0</v>
      </c>
      <c r="J113" s="96">
        <v>0</v>
      </c>
      <c r="K113" s="95">
        <v>0</v>
      </c>
      <c r="L113" s="95">
        <v>0</v>
      </c>
      <c r="M113" s="95">
        <v>0</v>
      </c>
      <c r="N113" s="95">
        <v>0</v>
      </c>
      <c r="O113" s="89"/>
      <c r="P113" s="95">
        <v>0</v>
      </c>
      <c r="Q113" s="89"/>
      <c r="R113" s="95">
        <v>0</v>
      </c>
      <c r="S113" s="95">
        <v>0</v>
      </c>
      <c r="T113" s="95">
        <v>0</v>
      </c>
      <c r="U113" s="95">
        <v>0</v>
      </c>
      <c r="V113" s="95">
        <v>0</v>
      </c>
      <c r="W113" s="96">
        <v>0</v>
      </c>
      <c r="X113" s="99">
        <v>0.04</v>
      </c>
    </row>
    <row r="114" spans="1:24" x14ac:dyDescent="0.3">
      <c r="A114" s="71">
        <v>31652</v>
      </c>
      <c r="B114" s="88" t="s">
        <v>346</v>
      </c>
      <c r="C114" s="95">
        <v>0</v>
      </c>
      <c r="D114" s="95">
        <v>0</v>
      </c>
      <c r="E114" s="95">
        <v>0</v>
      </c>
      <c r="F114" s="95">
        <v>0</v>
      </c>
      <c r="G114" s="95">
        <v>0</v>
      </c>
      <c r="H114" s="95">
        <v>0</v>
      </c>
      <c r="I114" s="95">
        <v>0</v>
      </c>
      <c r="J114" s="96">
        <v>0</v>
      </c>
      <c r="K114" s="95">
        <v>0</v>
      </c>
      <c r="L114" s="95">
        <v>0</v>
      </c>
      <c r="M114" s="95">
        <v>0</v>
      </c>
      <c r="N114" s="95">
        <v>0</v>
      </c>
      <c r="O114" s="89"/>
      <c r="P114" s="95">
        <v>0</v>
      </c>
      <c r="Q114" s="89"/>
      <c r="R114" s="95">
        <v>0</v>
      </c>
      <c r="S114" s="95">
        <v>0</v>
      </c>
      <c r="T114" s="95">
        <v>0</v>
      </c>
      <c r="U114" s="95">
        <v>0</v>
      </c>
      <c r="V114" s="95">
        <v>0</v>
      </c>
      <c r="W114" s="96">
        <v>0</v>
      </c>
      <c r="X114" s="99">
        <v>3.4000000000000002E-2</v>
      </c>
    </row>
    <row r="115" spans="1:24" x14ac:dyDescent="0.3">
      <c r="A115" s="71">
        <v>31653</v>
      </c>
      <c r="B115" s="88" t="s">
        <v>347</v>
      </c>
      <c r="C115" s="95">
        <v>0</v>
      </c>
      <c r="D115" s="95">
        <v>0</v>
      </c>
      <c r="E115" s="95">
        <v>0</v>
      </c>
      <c r="F115" s="95">
        <v>0</v>
      </c>
      <c r="G115" s="95">
        <v>0</v>
      </c>
      <c r="H115" s="95">
        <v>0</v>
      </c>
      <c r="I115" s="95">
        <v>0</v>
      </c>
      <c r="J115" s="96">
        <v>0</v>
      </c>
      <c r="K115" s="95">
        <v>0</v>
      </c>
      <c r="L115" s="95">
        <v>0</v>
      </c>
      <c r="M115" s="95">
        <v>0</v>
      </c>
      <c r="N115" s="95">
        <v>0</v>
      </c>
      <c r="O115" s="89"/>
      <c r="P115" s="95">
        <v>0</v>
      </c>
      <c r="Q115" s="89"/>
      <c r="R115" s="95">
        <v>0</v>
      </c>
      <c r="S115" s="95">
        <v>0</v>
      </c>
      <c r="T115" s="95">
        <v>0</v>
      </c>
      <c r="U115" s="95">
        <v>0</v>
      </c>
      <c r="V115" s="95">
        <v>0</v>
      </c>
      <c r="W115" s="96">
        <v>0</v>
      </c>
      <c r="X115" s="99">
        <v>2.9000000000000001E-2</v>
      </c>
    </row>
    <row r="116" spans="1:24" x14ac:dyDescent="0.3">
      <c r="A116" s="71">
        <v>31654</v>
      </c>
      <c r="B116" s="88" t="s">
        <v>348</v>
      </c>
      <c r="C116" s="95">
        <v>687934.36</v>
      </c>
      <c r="D116" s="95">
        <v>0</v>
      </c>
      <c r="E116" s="95">
        <v>0</v>
      </c>
      <c r="F116" s="95">
        <v>0</v>
      </c>
      <c r="G116" s="95">
        <v>0</v>
      </c>
      <c r="H116" s="95">
        <v>687934.36</v>
      </c>
      <c r="I116" s="95">
        <v>687934.36</v>
      </c>
      <c r="J116" s="96">
        <v>0</v>
      </c>
      <c r="K116" s="95">
        <v>361017.99999999988</v>
      </c>
      <c r="L116" s="95">
        <v>16510.439999999999</v>
      </c>
      <c r="M116" s="95">
        <v>0</v>
      </c>
      <c r="N116" s="95">
        <v>0</v>
      </c>
      <c r="O116" s="89"/>
      <c r="P116" s="95">
        <v>0</v>
      </c>
      <c r="Q116" s="89"/>
      <c r="R116" s="95">
        <v>0</v>
      </c>
      <c r="S116" s="95">
        <v>0</v>
      </c>
      <c r="T116" s="95">
        <v>0</v>
      </c>
      <c r="U116" s="95">
        <v>377528.43999999989</v>
      </c>
      <c r="V116" s="95">
        <v>369273.22</v>
      </c>
      <c r="W116" s="96">
        <v>0</v>
      </c>
      <c r="X116" s="99">
        <v>2.4E-2</v>
      </c>
    </row>
    <row r="117" spans="1:24" x14ac:dyDescent="0.3">
      <c r="A117" s="71">
        <v>31700</v>
      </c>
      <c r="B117" s="88" t="s">
        <v>349</v>
      </c>
      <c r="C117" s="95">
        <v>5602918.4799999967</v>
      </c>
      <c r="D117" s="95">
        <v>0</v>
      </c>
      <c r="E117" s="95">
        <v>0</v>
      </c>
      <c r="F117" s="95">
        <v>0</v>
      </c>
      <c r="G117" s="95">
        <v>0</v>
      </c>
      <c r="H117" s="95">
        <v>5602918.4799999967</v>
      </c>
      <c r="I117" s="95">
        <v>5602918.4800000004</v>
      </c>
      <c r="J117" s="96">
        <v>0</v>
      </c>
      <c r="K117" s="95">
        <v>1347457.0799999882</v>
      </c>
      <c r="L117" s="95">
        <v>156881.76</v>
      </c>
      <c r="M117" s="95">
        <v>0</v>
      </c>
      <c r="N117" s="95">
        <v>0</v>
      </c>
      <c r="O117" s="89"/>
      <c r="P117" s="95">
        <v>0</v>
      </c>
      <c r="Q117" s="89"/>
      <c r="R117" s="95">
        <v>0</v>
      </c>
      <c r="S117" s="95">
        <v>0</v>
      </c>
      <c r="T117" s="95">
        <v>0</v>
      </c>
      <c r="U117" s="95">
        <v>1504338.8399999882</v>
      </c>
      <c r="V117" s="95">
        <v>1425897.96</v>
      </c>
      <c r="W117" s="96">
        <v>0</v>
      </c>
      <c r="X117" s="99">
        <v>2.7999999999999997E-2</v>
      </c>
    </row>
    <row r="118" spans="1:24" x14ac:dyDescent="0.3">
      <c r="A118" s="71">
        <v>34028</v>
      </c>
      <c r="B118" s="88" t="s">
        <v>350</v>
      </c>
      <c r="C118" s="95">
        <v>0</v>
      </c>
      <c r="D118" s="95">
        <v>0</v>
      </c>
      <c r="E118" s="95">
        <v>0</v>
      </c>
      <c r="F118" s="95">
        <v>0</v>
      </c>
      <c r="G118" s="95">
        <v>0</v>
      </c>
      <c r="H118" s="95">
        <v>0</v>
      </c>
      <c r="I118" s="95">
        <v>0</v>
      </c>
      <c r="J118" s="96">
        <v>0</v>
      </c>
      <c r="K118" s="95">
        <v>0</v>
      </c>
      <c r="L118" s="95">
        <v>0</v>
      </c>
      <c r="M118" s="95">
        <v>0</v>
      </c>
      <c r="N118" s="95">
        <v>0</v>
      </c>
      <c r="O118" s="89"/>
      <c r="P118" s="95">
        <v>0</v>
      </c>
      <c r="Q118" s="89"/>
      <c r="R118" s="95">
        <v>0</v>
      </c>
      <c r="S118" s="95">
        <v>0</v>
      </c>
      <c r="T118" s="95">
        <v>0</v>
      </c>
      <c r="U118" s="95">
        <v>0</v>
      </c>
      <c r="V118" s="95">
        <v>0</v>
      </c>
      <c r="W118" s="96">
        <v>0</v>
      </c>
      <c r="X118" s="99">
        <v>0</v>
      </c>
    </row>
    <row r="119" spans="1:24" x14ac:dyDescent="0.3">
      <c r="A119" s="71">
        <v>34030</v>
      </c>
      <c r="B119" s="88" t="s">
        <v>351</v>
      </c>
      <c r="C119" s="95">
        <v>1592891.05</v>
      </c>
      <c r="D119" s="95">
        <v>0</v>
      </c>
      <c r="E119" s="95">
        <v>0</v>
      </c>
      <c r="F119" s="95">
        <v>0</v>
      </c>
      <c r="G119" s="95">
        <v>0</v>
      </c>
      <c r="H119" s="95">
        <v>1592891.05</v>
      </c>
      <c r="I119" s="95">
        <v>1592891.05</v>
      </c>
      <c r="J119" s="96">
        <v>0</v>
      </c>
      <c r="K119" s="95">
        <v>0</v>
      </c>
      <c r="L119" s="95">
        <v>0</v>
      </c>
      <c r="M119" s="95">
        <v>0</v>
      </c>
      <c r="N119" s="95">
        <v>0</v>
      </c>
      <c r="O119" s="89"/>
      <c r="P119" s="95">
        <v>0</v>
      </c>
      <c r="Q119" s="89"/>
      <c r="R119" s="95">
        <v>0</v>
      </c>
      <c r="S119" s="95">
        <v>0</v>
      </c>
      <c r="T119" s="95">
        <v>0</v>
      </c>
      <c r="U119" s="95">
        <v>0</v>
      </c>
      <c r="V119" s="95">
        <v>0</v>
      </c>
      <c r="W119" s="96">
        <v>0</v>
      </c>
      <c r="X119" s="99">
        <v>0</v>
      </c>
    </row>
    <row r="120" spans="1:24" x14ac:dyDescent="0.3">
      <c r="A120" s="71">
        <v>34042</v>
      </c>
      <c r="B120" s="88" t="s">
        <v>352</v>
      </c>
      <c r="C120" s="95">
        <v>0</v>
      </c>
      <c r="D120" s="95">
        <v>0</v>
      </c>
      <c r="E120" s="95">
        <v>0</v>
      </c>
      <c r="F120" s="95">
        <v>0</v>
      </c>
      <c r="G120" s="95">
        <v>0</v>
      </c>
      <c r="H120" s="95">
        <v>0</v>
      </c>
      <c r="I120" s="95">
        <v>0</v>
      </c>
      <c r="J120" s="96">
        <v>0</v>
      </c>
      <c r="K120" s="95">
        <v>0</v>
      </c>
      <c r="L120" s="95">
        <v>0</v>
      </c>
      <c r="M120" s="95">
        <v>0</v>
      </c>
      <c r="N120" s="95">
        <v>0</v>
      </c>
      <c r="O120" s="89"/>
      <c r="P120" s="95">
        <v>0</v>
      </c>
      <c r="Q120" s="89"/>
      <c r="R120" s="95">
        <v>0</v>
      </c>
      <c r="S120" s="95">
        <v>0</v>
      </c>
      <c r="T120" s="95">
        <v>0</v>
      </c>
      <c r="U120" s="95">
        <v>0</v>
      </c>
      <c r="V120" s="95">
        <v>0</v>
      </c>
      <c r="W120" s="96">
        <v>0</v>
      </c>
      <c r="X120" s="99">
        <v>0</v>
      </c>
    </row>
    <row r="121" spans="1:24" x14ac:dyDescent="0.3">
      <c r="A121" s="71">
        <v>34081</v>
      </c>
      <c r="B121" s="88" t="s">
        <v>353</v>
      </c>
      <c r="C121" s="95">
        <v>18197341.469999999</v>
      </c>
      <c r="D121" s="95">
        <v>0</v>
      </c>
      <c r="E121" s="95">
        <v>0</v>
      </c>
      <c r="F121" s="95">
        <v>0</v>
      </c>
      <c r="G121" s="95">
        <v>0</v>
      </c>
      <c r="H121" s="95">
        <v>18197341.469999999</v>
      </c>
      <c r="I121" s="95">
        <v>18197341.469999999</v>
      </c>
      <c r="J121" s="96">
        <v>0</v>
      </c>
      <c r="K121" s="95">
        <v>0</v>
      </c>
      <c r="L121" s="95">
        <v>0</v>
      </c>
      <c r="M121" s="95">
        <v>0</v>
      </c>
      <c r="N121" s="95">
        <v>0</v>
      </c>
      <c r="O121" s="89"/>
      <c r="P121" s="95">
        <v>0</v>
      </c>
      <c r="Q121" s="89"/>
      <c r="R121" s="95">
        <v>0</v>
      </c>
      <c r="S121" s="95">
        <v>0</v>
      </c>
      <c r="T121" s="95">
        <v>0</v>
      </c>
      <c r="U121" s="95">
        <v>0</v>
      </c>
      <c r="V121" s="95">
        <v>0</v>
      </c>
      <c r="W121" s="96">
        <v>0</v>
      </c>
      <c r="X121" s="99">
        <v>0</v>
      </c>
    </row>
    <row r="122" spans="1:24" x14ac:dyDescent="0.3">
      <c r="A122" s="71">
        <v>34099</v>
      </c>
      <c r="B122" s="88" t="s">
        <v>354</v>
      </c>
      <c r="C122" s="95">
        <v>167469727.13999999</v>
      </c>
      <c r="D122" s="95">
        <v>6693640.7999999998</v>
      </c>
      <c r="E122" s="95">
        <v>0</v>
      </c>
      <c r="F122" s="95">
        <v>0</v>
      </c>
      <c r="G122" s="95">
        <v>0</v>
      </c>
      <c r="H122" s="95">
        <v>174163367.94</v>
      </c>
      <c r="I122" s="95">
        <v>167984622.59</v>
      </c>
      <c r="J122" s="96">
        <v>0</v>
      </c>
      <c r="K122" s="95">
        <v>0</v>
      </c>
      <c r="L122" s="95">
        <v>0</v>
      </c>
      <c r="M122" s="95">
        <v>0</v>
      </c>
      <c r="N122" s="95">
        <v>0</v>
      </c>
      <c r="O122" s="89"/>
      <c r="P122" s="95">
        <v>0</v>
      </c>
      <c r="Q122" s="89"/>
      <c r="R122" s="95">
        <v>0</v>
      </c>
      <c r="S122" s="95">
        <v>0</v>
      </c>
      <c r="T122" s="95">
        <v>0</v>
      </c>
      <c r="U122" s="95">
        <v>0</v>
      </c>
      <c r="V122" s="95">
        <v>0</v>
      </c>
      <c r="W122" s="96">
        <v>0</v>
      </c>
      <c r="X122" s="99">
        <v>0</v>
      </c>
    </row>
    <row r="123" spans="1:24" x14ac:dyDescent="0.3">
      <c r="A123" s="71">
        <v>34120</v>
      </c>
      <c r="B123" s="88" t="s">
        <v>355</v>
      </c>
      <c r="C123" s="95">
        <v>0</v>
      </c>
      <c r="D123" s="95">
        <v>0</v>
      </c>
      <c r="E123" s="95">
        <v>0</v>
      </c>
      <c r="F123" s="95">
        <v>0</v>
      </c>
      <c r="G123" s="95">
        <v>0</v>
      </c>
      <c r="H123" s="95">
        <v>0</v>
      </c>
      <c r="I123" s="95">
        <v>0</v>
      </c>
      <c r="J123" s="96">
        <v>0</v>
      </c>
      <c r="K123" s="95">
        <v>0</v>
      </c>
      <c r="L123" s="95">
        <v>0</v>
      </c>
      <c r="M123" s="95">
        <v>0</v>
      </c>
      <c r="N123" s="95">
        <v>0</v>
      </c>
      <c r="O123" s="89"/>
      <c r="P123" s="95">
        <v>0</v>
      </c>
      <c r="Q123" s="89"/>
      <c r="R123" s="95">
        <v>0</v>
      </c>
      <c r="S123" s="95">
        <v>0</v>
      </c>
      <c r="T123" s="95">
        <v>0</v>
      </c>
      <c r="U123" s="95">
        <v>0</v>
      </c>
      <c r="V123" s="95">
        <v>0</v>
      </c>
      <c r="W123" s="96">
        <v>0</v>
      </c>
      <c r="X123" s="99">
        <v>0</v>
      </c>
    </row>
    <row r="124" spans="1:24" x14ac:dyDescent="0.3">
      <c r="A124" s="71">
        <v>34128</v>
      </c>
      <c r="B124" s="88" t="s">
        <v>356</v>
      </c>
      <c r="C124" s="95">
        <v>0</v>
      </c>
      <c r="D124" s="95">
        <v>0</v>
      </c>
      <c r="E124" s="95">
        <v>0</v>
      </c>
      <c r="F124" s="95">
        <v>0</v>
      </c>
      <c r="G124" s="95">
        <v>0</v>
      </c>
      <c r="H124" s="95">
        <v>0</v>
      </c>
      <c r="I124" s="95">
        <v>0</v>
      </c>
      <c r="J124" s="96">
        <v>0</v>
      </c>
      <c r="K124" s="95">
        <v>0</v>
      </c>
      <c r="L124" s="95">
        <v>0</v>
      </c>
      <c r="M124" s="95">
        <v>0</v>
      </c>
      <c r="N124" s="95">
        <v>0</v>
      </c>
      <c r="O124" s="89"/>
      <c r="P124" s="95">
        <v>0</v>
      </c>
      <c r="Q124" s="89"/>
      <c r="R124" s="95">
        <v>0</v>
      </c>
      <c r="S124" s="95">
        <v>0</v>
      </c>
      <c r="T124" s="95">
        <v>0</v>
      </c>
      <c r="U124" s="95">
        <v>0</v>
      </c>
      <c r="V124" s="95">
        <v>0</v>
      </c>
      <c r="W124" s="96">
        <v>0</v>
      </c>
      <c r="X124" s="99">
        <v>0</v>
      </c>
    </row>
    <row r="125" spans="1:24" x14ac:dyDescent="0.3">
      <c r="A125" s="71">
        <v>34130</v>
      </c>
      <c r="B125" s="88" t="s">
        <v>357</v>
      </c>
      <c r="C125" s="95">
        <v>104796034.44999999</v>
      </c>
      <c r="D125" s="95">
        <v>9295099.3399999999</v>
      </c>
      <c r="E125" s="95">
        <v>-1859019.87</v>
      </c>
      <c r="F125" s="95">
        <v>0</v>
      </c>
      <c r="G125" s="95">
        <v>0</v>
      </c>
      <c r="H125" s="95">
        <v>112232113.91999999</v>
      </c>
      <c r="I125" s="95">
        <v>109300065.31999999</v>
      </c>
      <c r="J125" s="96">
        <v>0</v>
      </c>
      <c r="K125" s="95">
        <v>26582211.06000001</v>
      </c>
      <c r="L125" s="95">
        <v>3707894.77</v>
      </c>
      <c r="M125" s="95">
        <v>-1859019.87</v>
      </c>
      <c r="N125" s="95">
        <v>-870413</v>
      </c>
      <c r="O125" s="89"/>
      <c r="P125" s="95">
        <v>0</v>
      </c>
      <c r="Q125" s="89"/>
      <c r="R125" s="95">
        <v>0</v>
      </c>
      <c r="S125" s="95">
        <v>0</v>
      </c>
      <c r="T125" s="95">
        <v>0</v>
      </c>
      <c r="U125" s="95">
        <v>27560672.960000008</v>
      </c>
      <c r="V125" s="95">
        <v>26628126.25</v>
      </c>
      <c r="W125" s="96">
        <v>0</v>
      </c>
      <c r="X125" s="99">
        <v>3.4000000000000002E-2</v>
      </c>
    </row>
    <row r="126" spans="1:24" x14ac:dyDescent="0.3">
      <c r="A126" s="71">
        <v>34131</v>
      </c>
      <c r="B126" s="88" t="s">
        <v>358</v>
      </c>
      <c r="C126" s="95">
        <v>21253120.770000003</v>
      </c>
      <c r="D126" s="95">
        <v>0</v>
      </c>
      <c r="E126" s="95">
        <v>0</v>
      </c>
      <c r="F126" s="95">
        <v>0</v>
      </c>
      <c r="G126" s="95">
        <v>0</v>
      </c>
      <c r="H126" s="95">
        <v>21253120.770000003</v>
      </c>
      <c r="I126" s="95">
        <v>21253120.77</v>
      </c>
      <c r="J126" s="96">
        <v>0</v>
      </c>
      <c r="K126" s="95">
        <v>8844613.2999999933</v>
      </c>
      <c r="L126" s="95">
        <v>765112.31999999995</v>
      </c>
      <c r="M126" s="95">
        <v>0</v>
      </c>
      <c r="N126" s="95">
        <v>0</v>
      </c>
      <c r="O126" s="89"/>
      <c r="P126" s="95">
        <v>0</v>
      </c>
      <c r="Q126" s="89"/>
      <c r="R126" s="95">
        <v>0</v>
      </c>
      <c r="S126" s="95">
        <v>0</v>
      </c>
      <c r="T126" s="95">
        <v>0</v>
      </c>
      <c r="U126" s="95">
        <v>9609725.6199999936</v>
      </c>
      <c r="V126" s="95">
        <v>9227169.4600000009</v>
      </c>
      <c r="W126" s="96">
        <v>0</v>
      </c>
      <c r="X126" s="99">
        <v>3.5999999999999997E-2</v>
      </c>
    </row>
    <row r="127" spans="1:24" x14ac:dyDescent="0.3">
      <c r="A127" s="71">
        <v>34132</v>
      </c>
      <c r="B127" s="88" t="s">
        <v>359</v>
      </c>
      <c r="C127" s="95">
        <v>27131136.169999998</v>
      </c>
      <c r="D127" s="95">
        <v>0</v>
      </c>
      <c r="E127" s="95">
        <v>0</v>
      </c>
      <c r="F127" s="95">
        <v>0</v>
      </c>
      <c r="G127" s="95">
        <v>0</v>
      </c>
      <c r="H127" s="95">
        <v>27131136.169999998</v>
      </c>
      <c r="I127" s="95">
        <v>27131136.170000002</v>
      </c>
      <c r="J127" s="96">
        <v>0</v>
      </c>
      <c r="K127" s="95">
        <v>13603075.20000001</v>
      </c>
      <c r="L127" s="95">
        <v>949589.76</v>
      </c>
      <c r="M127" s="95">
        <v>0</v>
      </c>
      <c r="N127" s="95">
        <v>0</v>
      </c>
      <c r="O127" s="89"/>
      <c r="P127" s="95">
        <v>0</v>
      </c>
      <c r="Q127" s="89"/>
      <c r="R127" s="95">
        <v>0</v>
      </c>
      <c r="S127" s="95">
        <v>0</v>
      </c>
      <c r="T127" s="95">
        <v>0</v>
      </c>
      <c r="U127" s="95">
        <v>14552664.96000001</v>
      </c>
      <c r="V127" s="95">
        <v>14077870.08</v>
      </c>
      <c r="W127" s="96">
        <v>0</v>
      </c>
      <c r="X127" s="99">
        <v>3.5000000000000003E-2</v>
      </c>
    </row>
    <row r="128" spans="1:24" x14ac:dyDescent="0.3">
      <c r="A128" s="71">
        <v>34133</v>
      </c>
      <c r="B128" s="88" t="s">
        <v>360</v>
      </c>
      <c r="C128" s="95">
        <v>656349.29</v>
      </c>
      <c r="D128" s="95">
        <v>0</v>
      </c>
      <c r="E128" s="95">
        <v>0</v>
      </c>
      <c r="F128" s="95">
        <v>0</v>
      </c>
      <c r="G128" s="95">
        <v>0</v>
      </c>
      <c r="H128" s="95">
        <v>656349.29</v>
      </c>
      <c r="I128" s="95">
        <v>656349.29</v>
      </c>
      <c r="J128" s="96">
        <v>0</v>
      </c>
      <c r="K128" s="95">
        <v>52198.990000000013</v>
      </c>
      <c r="L128" s="95">
        <v>22972.2</v>
      </c>
      <c r="M128" s="95">
        <v>0</v>
      </c>
      <c r="N128" s="95">
        <v>0</v>
      </c>
      <c r="O128" s="89"/>
      <c r="P128" s="95">
        <v>0</v>
      </c>
      <c r="Q128" s="89"/>
      <c r="R128" s="95">
        <v>0</v>
      </c>
      <c r="S128" s="95">
        <v>0</v>
      </c>
      <c r="T128" s="95">
        <v>0</v>
      </c>
      <c r="U128" s="95">
        <v>75171.190000000017</v>
      </c>
      <c r="V128" s="95">
        <v>63685.09</v>
      </c>
      <c r="W128" s="96">
        <v>0</v>
      </c>
      <c r="X128" s="99">
        <v>3.5000000000000003E-2</v>
      </c>
    </row>
    <row r="129" spans="1:24" x14ac:dyDescent="0.3">
      <c r="A129" s="71">
        <v>34134</v>
      </c>
      <c r="B129" s="88" t="s">
        <v>361</v>
      </c>
      <c r="C129" s="95">
        <v>242333.96</v>
      </c>
      <c r="D129" s="95">
        <v>0</v>
      </c>
      <c r="E129" s="95">
        <v>0</v>
      </c>
      <c r="F129" s="95">
        <v>0</v>
      </c>
      <c r="G129" s="95">
        <v>0</v>
      </c>
      <c r="H129" s="95">
        <v>242333.96</v>
      </c>
      <c r="I129" s="95">
        <v>242333.96</v>
      </c>
      <c r="J129" s="96">
        <v>0</v>
      </c>
      <c r="K129" s="95">
        <v>-85498.06999999992</v>
      </c>
      <c r="L129" s="95">
        <v>12359.04</v>
      </c>
      <c r="M129" s="95">
        <v>0</v>
      </c>
      <c r="N129" s="95">
        <v>0</v>
      </c>
      <c r="O129" s="89"/>
      <c r="P129" s="95">
        <v>0</v>
      </c>
      <c r="Q129" s="89"/>
      <c r="R129" s="95">
        <v>0</v>
      </c>
      <c r="S129" s="95">
        <v>0</v>
      </c>
      <c r="T129" s="95">
        <v>0</v>
      </c>
      <c r="U129" s="95">
        <v>-73139.029999999912</v>
      </c>
      <c r="V129" s="95">
        <v>-79318.55</v>
      </c>
      <c r="W129" s="96">
        <v>0</v>
      </c>
      <c r="X129" s="99">
        <v>5.0999999999999997E-2</v>
      </c>
    </row>
    <row r="130" spans="1:24" x14ac:dyDescent="0.3">
      <c r="A130" s="71">
        <v>34135</v>
      </c>
      <c r="B130" s="88" t="s">
        <v>362</v>
      </c>
      <c r="C130" s="95">
        <v>793114.26</v>
      </c>
      <c r="D130" s="95">
        <v>0</v>
      </c>
      <c r="E130" s="95">
        <v>0</v>
      </c>
      <c r="F130" s="95">
        <v>0</v>
      </c>
      <c r="G130" s="95">
        <v>0</v>
      </c>
      <c r="H130" s="95">
        <v>793114.26</v>
      </c>
      <c r="I130" s="95">
        <v>793114.26</v>
      </c>
      <c r="J130" s="96">
        <v>0</v>
      </c>
      <c r="K130" s="95">
        <v>-62573.459999999963</v>
      </c>
      <c r="L130" s="95">
        <v>34897.08</v>
      </c>
      <c r="M130" s="95">
        <v>0</v>
      </c>
      <c r="N130" s="95">
        <v>0</v>
      </c>
      <c r="O130" s="89"/>
      <c r="P130" s="95">
        <v>0</v>
      </c>
      <c r="Q130" s="89"/>
      <c r="R130" s="95">
        <v>0</v>
      </c>
      <c r="S130" s="95">
        <v>0</v>
      </c>
      <c r="T130" s="95">
        <v>0</v>
      </c>
      <c r="U130" s="95">
        <v>-27676.379999999961</v>
      </c>
      <c r="V130" s="95">
        <v>-45124.92</v>
      </c>
      <c r="W130" s="96">
        <v>-3.637978807091713E-11</v>
      </c>
      <c r="X130" s="99">
        <v>4.3999999999999997E-2</v>
      </c>
    </row>
    <row r="131" spans="1:24" x14ac:dyDescent="0.3">
      <c r="A131" s="71">
        <v>34136</v>
      </c>
      <c r="B131" s="88" t="s">
        <v>363</v>
      </c>
      <c r="C131" s="95">
        <v>2656231.54</v>
      </c>
      <c r="D131" s="95">
        <v>0</v>
      </c>
      <c r="E131" s="95">
        <v>0</v>
      </c>
      <c r="F131" s="95">
        <v>0</v>
      </c>
      <c r="G131" s="95">
        <v>0</v>
      </c>
      <c r="H131" s="95">
        <v>2656231.54</v>
      </c>
      <c r="I131" s="95">
        <v>2656231.54</v>
      </c>
      <c r="J131" s="96">
        <v>0</v>
      </c>
      <c r="K131" s="95">
        <v>612744.56000000052</v>
      </c>
      <c r="L131" s="95">
        <v>82343.16</v>
      </c>
      <c r="M131" s="95">
        <v>0</v>
      </c>
      <c r="N131" s="95">
        <v>0</v>
      </c>
      <c r="O131" s="89"/>
      <c r="P131" s="95">
        <v>0</v>
      </c>
      <c r="Q131" s="89"/>
      <c r="R131" s="95">
        <v>0</v>
      </c>
      <c r="S131" s="95">
        <v>0</v>
      </c>
      <c r="T131" s="95">
        <v>0</v>
      </c>
      <c r="U131" s="95">
        <v>695087.72000000055</v>
      </c>
      <c r="V131" s="95">
        <v>653916.14</v>
      </c>
      <c r="W131" s="96">
        <v>0</v>
      </c>
      <c r="X131" s="99">
        <v>3.1E-2</v>
      </c>
    </row>
    <row r="132" spans="1:24" x14ac:dyDescent="0.3">
      <c r="A132" s="71">
        <v>34141</v>
      </c>
      <c r="B132" s="88" t="s">
        <v>364</v>
      </c>
      <c r="C132" s="95">
        <v>0</v>
      </c>
      <c r="D132" s="95">
        <v>0</v>
      </c>
      <c r="E132" s="95">
        <v>0</v>
      </c>
      <c r="F132" s="95">
        <v>0</v>
      </c>
      <c r="G132" s="95">
        <v>0</v>
      </c>
      <c r="H132" s="95">
        <v>0</v>
      </c>
      <c r="I132" s="95">
        <v>0</v>
      </c>
      <c r="J132" s="96">
        <v>0</v>
      </c>
      <c r="K132" s="95">
        <v>0</v>
      </c>
      <c r="L132" s="95">
        <v>0</v>
      </c>
      <c r="M132" s="95">
        <v>0</v>
      </c>
      <c r="N132" s="95">
        <v>0</v>
      </c>
      <c r="O132" s="89"/>
      <c r="P132" s="95">
        <v>0</v>
      </c>
      <c r="Q132" s="89"/>
      <c r="R132" s="95">
        <v>0</v>
      </c>
      <c r="S132" s="95">
        <v>0</v>
      </c>
      <c r="T132" s="95">
        <v>0</v>
      </c>
      <c r="U132" s="95">
        <v>0</v>
      </c>
      <c r="V132" s="95">
        <v>0</v>
      </c>
      <c r="W132" s="96">
        <v>0</v>
      </c>
      <c r="X132" s="99">
        <v>0</v>
      </c>
    </row>
    <row r="133" spans="1:24" x14ac:dyDescent="0.3">
      <c r="A133" s="71">
        <v>34142</v>
      </c>
      <c r="B133" s="88" t="s">
        <v>365</v>
      </c>
      <c r="C133" s="95">
        <v>0</v>
      </c>
      <c r="D133" s="95">
        <v>0</v>
      </c>
      <c r="E133" s="95">
        <v>0</v>
      </c>
      <c r="F133" s="95">
        <v>0</v>
      </c>
      <c r="G133" s="95">
        <v>0</v>
      </c>
      <c r="H133" s="95">
        <v>0</v>
      </c>
      <c r="I133" s="95">
        <v>0</v>
      </c>
      <c r="J133" s="96">
        <v>0</v>
      </c>
      <c r="K133" s="95">
        <v>0</v>
      </c>
      <c r="L133" s="95">
        <v>0</v>
      </c>
      <c r="M133" s="95">
        <v>0</v>
      </c>
      <c r="N133" s="95">
        <v>0</v>
      </c>
      <c r="O133" s="89"/>
      <c r="P133" s="95">
        <v>0</v>
      </c>
      <c r="Q133" s="89"/>
      <c r="R133" s="95">
        <v>0</v>
      </c>
      <c r="S133" s="95">
        <v>0</v>
      </c>
      <c r="T133" s="95">
        <v>0</v>
      </c>
      <c r="U133" s="95">
        <v>0</v>
      </c>
      <c r="V133" s="95">
        <v>0</v>
      </c>
      <c r="W133" s="96">
        <v>0</v>
      </c>
      <c r="X133" s="99">
        <v>0</v>
      </c>
    </row>
    <row r="134" spans="1:24" x14ac:dyDescent="0.3">
      <c r="A134" s="71">
        <v>34143</v>
      </c>
      <c r="B134" s="88" t="s">
        <v>366</v>
      </c>
      <c r="C134" s="95">
        <v>2290548.98</v>
      </c>
      <c r="D134" s="95">
        <v>0</v>
      </c>
      <c r="E134" s="95">
        <v>0</v>
      </c>
      <c r="F134" s="95">
        <v>0</v>
      </c>
      <c r="G134" s="95">
        <v>0</v>
      </c>
      <c r="H134" s="95">
        <v>2290548.98</v>
      </c>
      <c r="I134" s="95">
        <v>2290548.98</v>
      </c>
      <c r="J134" s="96">
        <v>0</v>
      </c>
      <c r="K134" s="95">
        <v>1471410.2599999993</v>
      </c>
      <c r="L134" s="95">
        <v>66425.88</v>
      </c>
      <c r="M134" s="95">
        <v>0</v>
      </c>
      <c r="N134" s="95">
        <v>0</v>
      </c>
      <c r="O134" s="89"/>
      <c r="P134" s="95">
        <v>0</v>
      </c>
      <c r="Q134" s="89"/>
      <c r="R134" s="95">
        <v>0</v>
      </c>
      <c r="S134" s="95">
        <v>0</v>
      </c>
      <c r="T134" s="95">
        <v>0</v>
      </c>
      <c r="U134" s="95">
        <v>1537836.1399999992</v>
      </c>
      <c r="V134" s="95">
        <v>1504623.2</v>
      </c>
      <c r="W134" s="96">
        <v>0</v>
      </c>
      <c r="X134" s="99">
        <v>2.9000000000000001E-2</v>
      </c>
    </row>
    <row r="135" spans="1:24" x14ac:dyDescent="0.3">
      <c r="A135" s="71">
        <v>34144</v>
      </c>
      <c r="B135" s="88" t="s">
        <v>367</v>
      </c>
      <c r="C135" s="95">
        <v>3335882.55</v>
      </c>
      <c r="D135" s="95">
        <v>0</v>
      </c>
      <c r="E135" s="95">
        <v>0</v>
      </c>
      <c r="F135" s="95">
        <v>0</v>
      </c>
      <c r="G135" s="95">
        <v>0</v>
      </c>
      <c r="H135" s="95">
        <v>3335882.55</v>
      </c>
      <c r="I135" s="95">
        <v>3335882.55</v>
      </c>
      <c r="J135" s="96">
        <v>0</v>
      </c>
      <c r="K135" s="95">
        <v>929605.46</v>
      </c>
      <c r="L135" s="95">
        <v>120091.8</v>
      </c>
      <c r="M135" s="95">
        <v>0</v>
      </c>
      <c r="N135" s="95">
        <v>0</v>
      </c>
      <c r="O135" s="89"/>
      <c r="P135" s="95">
        <v>0</v>
      </c>
      <c r="Q135" s="89"/>
      <c r="R135" s="95">
        <v>0</v>
      </c>
      <c r="S135" s="95">
        <v>0</v>
      </c>
      <c r="T135" s="95">
        <v>0</v>
      </c>
      <c r="U135" s="95">
        <v>1049697.26</v>
      </c>
      <c r="V135" s="95">
        <v>989651.36</v>
      </c>
      <c r="W135" s="96">
        <v>0</v>
      </c>
      <c r="X135" s="99">
        <v>3.5999999999999997E-2</v>
      </c>
    </row>
    <row r="136" spans="1:24" x14ac:dyDescent="0.3">
      <c r="A136" s="71">
        <v>34145</v>
      </c>
      <c r="B136" s="88" t="s">
        <v>368</v>
      </c>
      <c r="C136" s="95">
        <v>0</v>
      </c>
      <c r="D136" s="95">
        <v>0</v>
      </c>
      <c r="E136" s="95">
        <v>0</v>
      </c>
      <c r="F136" s="95">
        <v>0</v>
      </c>
      <c r="G136" s="95">
        <v>0</v>
      </c>
      <c r="H136" s="95">
        <v>0</v>
      </c>
      <c r="I136" s="95">
        <v>0</v>
      </c>
      <c r="J136" s="96">
        <v>0</v>
      </c>
      <c r="K136" s="95">
        <v>0</v>
      </c>
      <c r="L136" s="95">
        <v>0</v>
      </c>
      <c r="M136" s="95">
        <v>0</v>
      </c>
      <c r="N136" s="95">
        <v>0</v>
      </c>
      <c r="O136" s="89"/>
      <c r="P136" s="95">
        <v>0</v>
      </c>
      <c r="Q136" s="89"/>
      <c r="R136" s="95">
        <v>0</v>
      </c>
      <c r="S136" s="95">
        <v>0</v>
      </c>
      <c r="T136" s="95">
        <v>0</v>
      </c>
      <c r="U136" s="95">
        <v>0</v>
      </c>
      <c r="V136" s="95">
        <v>0</v>
      </c>
      <c r="W136" s="96">
        <v>0</v>
      </c>
      <c r="X136" s="99">
        <v>2.9000000000000001E-2</v>
      </c>
    </row>
    <row r="137" spans="1:24" x14ac:dyDescent="0.3">
      <c r="A137" s="71">
        <v>34146</v>
      </c>
      <c r="B137" s="88" t="s">
        <v>369</v>
      </c>
      <c r="C137" s="95">
        <v>0</v>
      </c>
      <c r="D137" s="95">
        <v>0</v>
      </c>
      <c r="E137" s="95">
        <v>0</v>
      </c>
      <c r="F137" s="95">
        <v>0</v>
      </c>
      <c r="G137" s="95">
        <v>0</v>
      </c>
      <c r="H137" s="95">
        <v>0</v>
      </c>
      <c r="I137" s="95">
        <v>0</v>
      </c>
      <c r="J137" s="96">
        <v>0</v>
      </c>
      <c r="K137" s="95">
        <v>0</v>
      </c>
      <c r="L137" s="95">
        <v>0</v>
      </c>
      <c r="M137" s="95">
        <v>0</v>
      </c>
      <c r="N137" s="95">
        <v>0</v>
      </c>
      <c r="O137" s="89"/>
      <c r="P137" s="95">
        <v>0</v>
      </c>
      <c r="Q137" s="89"/>
      <c r="R137" s="95">
        <v>0</v>
      </c>
      <c r="S137" s="95">
        <v>0</v>
      </c>
      <c r="T137" s="95">
        <v>0</v>
      </c>
      <c r="U137" s="95">
        <v>0</v>
      </c>
      <c r="V137" s="95">
        <v>0</v>
      </c>
      <c r="W137" s="96">
        <v>0</v>
      </c>
      <c r="X137" s="99">
        <v>2.9000000000000001E-2</v>
      </c>
    </row>
    <row r="138" spans="1:24" x14ac:dyDescent="0.3">
      <c r="A138" s="71">
        <v>34180</v>
      </c>
      <c r="B138" s="88" t="s">
        <v>370</v>
      </c>
      <c r="C138" s="95">
        <v>193028877.69000003</v>
      </c>
      <c r="D138" s="95">
        <v>0</v>
      </c>
      <c r="E138" s="95">
        <v>0</v>
      </c>
      <c r="F138" s="95">
        <v>0</v>
      </c>
      <c r="G138" s="95">
        <v>0</v>
      </c>
      <c r="H138" s="95">
        <v>193028877.69000003</v>
      </c>
      <c r="I138" s="95">
        <v>193028877.69</v>
      </c>
      <c r="J138" s="96">
        <v>0</v>
      </c>
      <c r="K138" s="95">
        <v>61258219.739999995</v>
      </c>
      <c r="L138" s="95">
        <v>5983895.1600000001</v>
      </c>
      <c r="M138" s="95">
        <v>0</v>
      </c>
      <c r="N138" s="95">
        <v>0</v>
      </c>
      <c r="O138" s="89"/>
      <c r="P138" s="95">
        <v>0</v>
      </c>
      <c r="Q138" s="89"/>
      <c r="R138" s="95">
        <v>0</v>
      </c>
      <c r="S138" s="95">
        <v>0</v>
      </c>
      <c r="T138" s="95">
        <v>0</v>
      </c>
      <c r="U138" s="95">
        <v>67242114.899999991</v>
      </c>
      <c r="V138" s="95">
        <v>64250167.32</v>
      </c>
      <c r="W138" s="96">
        <v>0</v>
      </c>
      <c r="X138" s="99">
        <v>3.1E-2</v>
      </c>
    </row>
    <row r="139" spans="1:24" x14ac:dyDescent="0.3">
      <c r="A139" s="71">
        <v>34181</v>
      </c>
      <c r="B139" s="88" t="s">
        <v>371</v>
      </c>
      <c r="C139" s="95">
        <v>53101275.780000016</v>
      </c>
      <c r="D139" s="95">
        <v>0</v>
      </c>
      <c r="E139" s="95">
        <v>0</v>
      </c>
      <c r="F139" s="95">
        <v>0</v>
      </c>
      <c r="G139" s="95">
        <v>0</v>
      </c>
      <c r="H139" s="95">
        <v>53101275.780000016</v>
      </c>
      <c r="I139" s="95">
        <v>53101275.780000001</v>
      </c>
      <c r="J139" s="96">
        <v>0</v>
      </c>
      <c r="K139" s="95">
        <v>26607221.869999979</v>
      </c>
      <c r="L139" s="95">
        <v>1964747.16</v>
      </c>
      <c r="M139" s="95">
        <v>0</v>
      </c>
      <c r="N139" s="95">
        <v>0</v>
      </c>
      <c r="O139" s="89"/>
      <c r="P139" s="95">
        <v>0</v>
      </c>
      <c r="Q139" s="89"/>
      <c r="R139" s="95">
        <v>0</v>
      </c>
      <c r="S139" s="95">
        <v>0</v>
      </c>
      <c r="T139" s="95">
        <v>0</v>
      </c>
      <c r="U139" s="95">
        <v>28571969.029999979</v>
      </c>
      <c r="V139" s="95">
        <v>27589595.449999999</v>
      </c>
      <c r="W139" s="96">
        <v>0</v>
      </c>
      <c r="X139" s="99">
        <v>3.6999999999999998E-2</v>
      </c>
    </row>
    <row r="140" spans="1:24" x14ac:dyDescent="0.3">
      <c r="A140" s="71">
        <v>34182</v>
      </c>
      <c r="B140" s="88" t="s">
        <v>372</v>
      </c>
      <c r="C140" s="95">
        <v>2342155.2899999996</v>
      </c>
      <c r="D140" s="95">
        <v>0</v>
      </c>
      <c r="E140" s="95">
        <v>0</v>
      </c>
      <c r="F140" s="95">
        <v>0</v>
      </c>
      <c r="G140" s="95">
        <v>0</v>
      </c>
      <c r="H140" s="95">
        <v>2342155.2899999996</v>
      </c>
      <c r="I140" s="95">
        <v>2342155.29</v>
      </c>
      <c r="J140" s="96">
        <v>0</v>
      </c>
      <c r="K140" s="95">
        <v>1270614.5399999993</v>
      </c>
      <c r="L140" s="95">
        <v>60896.04</v>
      </c>
      <c r="M140" s="95">
        <v>0</v>
      </c>
      <c r="N140" s="95">
        <v>0</v>
      </c>
      <c r="O140" s="89"/>
      <c r="P140" s="95">
        <v>0</v>
      </c>
      <c r="Q140" s="89"/>
      <c r="R140" s="95">
        <v>0</v>
      </c>
      <c r="S140" s="95">
        <v>0</v>
      </c>
      <c r="T140" s="95">
        <v>0</v>
      </c>
      <c r="U140" s="95">
        <v>1331510.5799999994</v>
      </c>
      <c r="V140" s="95">
        <v>1301062.56</v>
      </c>
      <c r="W140" s="96">
        <v>0</v>
      </c>
      <c r="X140" s="99">
        <v>2.5999999999999999E-2</v>
      </c>
    </row>
    <row r="141" spans="1:24" x14ac:dyDescent="0.3">
      <c r="A141" s="71">
        <v>34183</v>
      </c>
      <c r="B141" s="88" t="s">
        <v>373</v>
      </c>
      <c r="C141" s="95">
        <v>10708676.690000001</v>
      </c>
      <c r="D141" s="95">
        <v>0</v>
      </c>
      <c r="E141" s="95">
        <v>0</v>
      </c>
      <c r="F141" s="95">
        <v>0</v>
      </c>
      <c r="G141" s="95">
        <v>0</v>
      </c>
      <c r="H141" s="95">
        <v>10708676.690000001</v>
      </c>
      <c r="I141" s="95">
        <v>10708676.689999999</v>
      </c>
      <c r="J141" s="96">
        <v>0</v>
      </c>
      <c r="K141" s="95">
        <v>5722534.7500000009</v>
      </c>
      <c r="L141" s="95">
        <v>278425.56</v>
      </c>
      <c r="M141" s="95">
        <v>0</v>
      </c>
      <c r="N141" s="95">
        <v>0</v>
      </c>
      <c r="O141" s="89"/>
      <c r="P141" s="95">
        <v>0</v>
      </c>
      <c r="Q141" s="89"/>
      <c r="R141" s="95">
        <v>0</v>
      </c>
      <c r="S141" s="95">
        <v>0</v>
      </c>
      <c r="T141" s="95">
        <v>0</v>
      </c>
      <c r="U141" s="95">
        <v>6000960.3100000005</v>
      </c>
      <c r="V141" s="95">
        <v>5861747.5300000003</v>
      </c>
      <c r="W141" s="96">
        <v>0</v>
      </c>
      <c r="X141" s="99">
        <v>2.5999999999999999E-2</v>
      </c>
    </row>
    <row r="142" spans="1:24" x14ac:dyDescent="0.3">
      <c r="A142" s="71">
        <v>34184</v>
      </c>
      <c r="B142" s="88" t="s">
        <v>374</v>
      </c>
      <c r="C142" s="95">
        <v>5812062.1499999994</v>
      </c>
      <c r="D142" s="95">
        <v>0</v>
      </c>
      <c r="E142" s="95">
        <v>0</v>
      </c>
      <c r="F142" s="95">
        <v>0</v>
      </c>
      <c r="G142" s="95">
        <v>0</v>
      </c>
      <c r="H142" s="95">
        <v>5812062.1499999994</v>
      </c>
      <c r="I142" s="95">
        <v>5812062.1500000004</v>
      </c>
      <c r="J142" s="96">
        <v>0</v>
      </c>
      <c r="K142" s="95">
        <v>2240567.700000002</v>
      </c>
      <c r="L142" s="95">
        <v>156925.68</v>
      </c>
      <c r="M142" s="95">
        <v>0</v>
      </c>
      <c r="N142" s="95">
        <v>0</v>
      </c>
      <c r="O142" s="89"/>
      <c r="P142" s="95">
        <v>0</v>
      </c>
      <c r="Q142" s="89"/>
      <c r="R142" s="95">
        <v>0</v>
      </c>
      <c r="S142" s="95">
        <v>0</v>
      </c>
      <c r="T142" s="95">
        <v>0</v>
      </c>
      <c r="U142" s="95">
        <v>2397493.3800000022</v>
      </c>
      <c r="V142" s="95">
        <v>2319030.54</v>
      </c>
      <c r="W142" s="96">
        <v>0</v>
      </c>
      <c r="X142" s="99">
        <v>2.7E-2</v>
      </c>
    </row>
    <row r="143" spans="1:24" x14ac:dyDescent="0.3">
      <c r="A143" s="71">
        <v>34185</v>
      </c>
      <c r="B143" s="88" t="s">
        <v>375</v>
      </c>
      <c r="C143" s="95">
        <v>5746580.1100000003</v>
      </c>
      <c r="D143" s="95">
        <v>0</v>
      </c>
      <c r="E143" s="95">
        <v>0</v>
      </c>
      <c r="F143" s="95">
        <v>0</v>
      </c>
      <c r="G143" s="95">
        <v>0</v>
      </c>
      <c r="H143" s="95">
        <v>5746580.1100000003</v>
      </c>
      <c r="I143" s="95">
        <v>5746580.1100000003</v>
      </c>
      <c r="J143" s="96">
        <v>0</v>
      </c>
      <c r="K143" s="95">
        <v>2269108.9799999981</v>
      </c>
      <c r="L143" s="95">
        <v>155157.72</v>
      </c>
      <c r="M143" s="95">
        <v>0</v>
      </c>
      <c r="N143" s="95">
        <v>0</v>
      </c>
      <c r="O143" s="89"/>
      <c r="P143" s="95">
        <v>0</v>
      </c>
      <c r="Q143" s="89"/>
      <c r="R143" s="95">
        <v>0</v>
      </c>
      <c r="S143" s="95">
        <v>0</v>
      </c>
      <c r="T143" s="95">
        <v>0</v>
      </c>
      <c r="U143" s="95">
        <v>2424266.6999999983</v>
      </c>
      <c r="V143" s="95">
        <v>2346687.84</v>
      </c>
      <c r="W143" s="96">
        <v>0</v>
      </c>
      <c r="X143" s="99">
        <v>2.7E-2</v>
      </c>
    </row>
    <row r="144" spans="1:24" x14ac:dyDescent="0.3">
      <c r="A144" s="71">
        <v>34186</v>
      </c>
      <c r="B144" s="88" t="s">
        <v>376</v>
      </c>
      <c r="C144" s="95">
        <v>13374554.050000001</v>
      </c>
      <c r="D144" s="95">
        <v>0</v>
      </c>
      <c r="E144" s="95">
        <v>0</v>
      </c>
      <c r="F144" s="95">
        <v>0</v>
      </c>
      <c r="G144" s="95">
        <v>0</v>
      </c>
      <c r="H144" s="95">
        <v>13374554.050000001</v>
      </c>
      <c r="I144" s="95">
        <v>13374554.050000001</v>
      </c>
      <c r="J144" s="96">
        <v>0</v>
      </c>
      <c r="K144" s="95">
        <v>3918843.4700000044</v>
      </c>
      <c r="L144" s="95">
        <v>347738.4</v>
      </c>
      <c r="M144" s="95">
        <v>0</v>
      </c>
      <c r="N144" s="95">
        <v>0</v>
      </c>
      <c r="O144" s="89"/>
      <c r="P144" s="95">
        <v>0</v>
      </c>
      <c r="Q144" s="89"/>
      <c r="R144" s="95">
        <v>0</v>
      </c>
      <c r="S144" s="95">
        <v>0</v>
      </c>
      <c r="T144" s="95">
        <v>0</v>
      </c>
      <c r="U144" s="95">
        <v>4266581.8700000048</v>
      </c>
      <c r="V144" s="95">
        <v>4092712.67</v>
      </c>
      <c r="W144" s="96">
        <v>0</v>
      </c>
      <c r="X144" s="99">
        <v>2.5999999999999999E-2</v>
      </c>
    </row>
    <row r="145" spans="1:24" x14ac:dyDescent="0.3">
      <c r="A145" s="71">
        <v>34198</v>
      </c>
      <c r="B145" s="88" t="s">
        <v>377</v>
      </c>
      <c r="C145" s="95">
        <v>0</v>
      </c>
      <c r="D145" s="95">
        <v>0</v>
      </c>
      <c r="E145" s="95">
        <v>0</v>
      </c>
      <c r="F145" s="95">
        <v>0</v>
      </c>
      <c r="G145" s="95">
        <v>0</v>
      </c>
      <c r="H145" s="95">
        <v>0</v>
      </c>
      <c r="I145" s="95">
        <v>0</v>
      </c>
      <c r="J145" s="96">
        <v>0</v>
      </c>
      <c r="K145" s="95">
        <v>0</v>
      </c>
      <c r="L145" s="95">
        <v>0</v>
      </c>
      <c r="M145" s="95">
        <v>0</v>
      </c>
      <c r="N145" s="95">
        <v>0</v>
      </c>
      <c r="O145" s="89"/>
      <c r="P145" s="95">
        <v>0</v>
      </c>
      <c r="Q145" s="89"/>
      <c r="R145" s="95">
        <v>0</v>
      </c>
      <c r="S145" s="95">
        <v>0</v>
      </c>
      <c r="T145" s="95">
        <v>0</v>
      </c>
      <c r="U145" s="95">
        <v>0</v>
      </c>
      <c r="V145" s="95">
        <v>0</v>
      </c>
      <c r="W145" s="96">
        <v>0</v>
      </c>
      <c r="X145" s="99">
        <v>3.3000000000000002E-2</v>
      </c>
    </row>
    <row r="146" spans="1:24" x14ac:dyDescent="0.3">
      <c r="A146" s="71">
        <v>34199</v>
      </c>
      <c r="B146" s="88" t="s">
        <v>378</v>
      </c>
      <c r="C146" s="95">
        <v>450039902.33000004</v>
      </c>
      <c r="D146" s="95">
        <v>20679017.75</v>
      </c>
      <c r="E146" s="95">
        <v>0</v>
      </c>
      <c r="F146" s="95">
        <v>0</v>
      </c>
      <c r="G146" s="95">
        <v>0</v>
      </c>
      <c r="H146" s="95">
        <v>470718920.08000004</v>
      </c>
      <c r="I146" s="95">
        <v>455260775.06</v>
      </c>
      <c r="J146" s="96">
        <v>0</v>
      </c>
      <c r="K146" s="95">
        <v>40916804.459999986</v>
      </c>
      <c r="L146" s="95">
        <v>13165205.279999999</v>
      </c>
      <c r="M146" s="95">
        <v>0</v>
      </c>
      <c r="N146" s="95">
        <v>0</v>
      </c>
      <c r="O146" s="89"/>
      <c r="P146" s="95">
        <v>0</v>
      </c>
      <c r="Q146" s="89"/>
      <c r="R146" s="95">
        <v>0</v>
      </c>
      <c r="S146" s="95">
        <v>0</v>
      </c>
      <c r="T146" s="95">
        <v>0</v>
      </c>
      <c r="U146" s="95">
        <v>54082009.739999987</v>
      </c>
      <c r="V146" s="95">
        <v>47460922.420000002</v>
      </c>
      <c r="W146" s="96">
        <v>0</v>
      </c>
      <c r="X146" s="99">
        <v>2.9000000000000001E-2</v>
      </c>
    </row>
    <row r="147" spans="1:24" x14ac:dyDescent="0.3">
      <c r="A147" s="71">
        <v>34220</v>
      </c>
      <c r="B147" s="88" t="s">
        <v>379</v>
      </c>
      <c r="C147" s="95">
        <v>0</v>
      </c>
      <c r="D147" s="95">
        <v>0</v>
      </c>
      <c r="E147" s="95">
        <v>0</v>
      </c>
      <c r="F147" s="95">
        <v>0</v>
      </c>
      <c r="G147" s="95">
        <v>0</v>
      </c>
      <c r="H147" s="95">
        <v>0</v>
      </c>
      <c r="I147" s="95">
        <v>0</v>
      </c>
      <c r="J147" s="96">
        <v>0</v>
      </c>
      <c r="K147" s="95">
        <v>0</v>
      </c>
      <c r="L147" s="95">
        <v>0</v>
      </c>
      <c r="M147" s="95">
        <v>0</v>
      </c>
      <c r="N147" s="95">
        <v>0</v>
      </c>
      <c r="O147" s="89"/>
      <c r="P147" s="95">
        <v>0</v>
      </c>
      <c r="Q147" s="89"/>
      <c r="R147" s="95">
        <v>0</v>
      </c>
      <c r="S147" s="95">
        <v>0</v>
      </c>
      <c r="T147" s="95">
        <v>0</v>
      </c>
      <c r="U147" s="95">
        <v>0</v>
      </c>
      <c r="V147" s="95">
        <v>0</v>
      </c>
      <c r="W147" s="96">
        <v>0</v>
      </c>
      <c r="X147" s="99">
        <v>0</v>
      </c>
    </row>
    <row r="148" spans="1:24" x14ac:dyDescent="0.3">
      <c r="A148" s="71">
        <v>34228</v>
      </c>
      <c r="B148" s="88" t="s">
        <v>380</v>
      </c>
      <c r="C148" s="95">
        <v>0</v>
      </c>
      <c r="D148" s="95">
        <v>0</v>
      </c>
      <c r="E148" s="95">
        <v>0</v>
      </c>
      <c r="F148" s="95">
        <v>0</v>
      </c>
      <c r="G148" s="95">
        <v>0</v>
      </c>
      <c r="H148" s="95">
        <v>0</v>
      </c>
      <c r="I148" s="95">
        <v>0</v>
      </c>
      <c r="J148" s="96">
        <v>0</v>
      </c>
      <c r="K148" s="95">
        <v>0</v>
      </c>
      <c r="L148" s="95">
        <v>0</v>
      </c>
      <c r="M148" s="95">
        <v>0</v>
      </c>
      <c r="N148" s="95">
        <v>0</v>
      </c>
      <c r="O148" s="89"/>
      <c r="P148" s="95">
        <v>0</v>
      </c>
      <c r="Q148" s="89"/>
      <c r="R148" s="95">
        <v>0</v>
      </c>
      <c r="S148" s="95">
        <v>0</v>
      </c>
      <c r="T148" s="95">
        <v>0</v>
      </c>
      <c r="U148" s="95">
        <v>0</v>
      </c>
      <c r="V148" s="95">
        <v>0</v>
      </c>
      <c r="W148" s="96">
        <v>0</v>
      </c>
      <c r="X148" s="99">
        <v>0</v>
      </c>
    </row>
    <row r="149" spans="1:24" x14ac:dyDescent="0.3">
      <c r="A149" s="71">
        <v>34230</v>
      </c>
      <c r="B149" s="88" t="s">
        <v>381</v>
      </c>
      <c r="C149" s="95">
        <v>24416151.070000008</v>
      </c>
      <c r="D149" s="95">
        <v>21123922.539999999</v>
      </c>
      <c r="E149" s="95">
        <v>-4224784.54</v>
      </c>
      <c r="F149" s="95">
        <v>0</v>
      </c>
      <c r="G149" s="95">
        <v>0</v>
      </c>
      <c r="H149" s="95">
        <v>41315289.070000008</v>
      </c>
      <c r="I149" s="95">
        <v>36694364.340000004</v>
      </c>
      <c r="J149" s="96">
        <v>0</v>
      </c>
      <c r="K149" s="95">
        <v>7904233.6499999966</v>
      </c>
      <c r="L149" s="95">
        <v>1089278.6299999999</v>
      </c>
      <c r="M149" s="95">
        <v>-4224784.54</v>
      </c>
      <c r="N149" s="95">
        <v>-684787</v>
      </c>
      <c r="O149" s="89"/>
      <c r="P149" s="95">
        <v>0</v>
      </c>
      <c r="Q149" s="89"/>
      <c r="R149" s="95">
        <v>0</v>
      </c>
      <c r="S149" s="95">
        <v>0</v>
      </c>
      <c r="T149" s="95">
        <v>0</v>
      </c>
      <c r="U149" s="95">
        <v>4083940.7399999974</v>
      </c>
      <c r="V149" s="95">
        <v>4863968.5</v>
      </c>
      <c r="W149" s="96">
        <v>0</v>
      </c>
      <c r="X149" s="99">
        <v>0.03</v>
      </c>
    </row>
    <row r="150" spans="1:24" x14ac:dyDescent="0.3">
      <c r="A150" s="71">
        <v>34231</v>
      </c>
      <c r="B150" s="88" t="s">
        <v>382</v>
      </c>
      <c r="C150" s="95">
        <v>82756183.969999969</v>
      </c>
      <c r="D150" s="95">
        <v>9866065.3000000007</v>
      </c>
      <c r="E150" s="95">
        <v>-1973213.07</v>
      </c>
      <c r="F150" s="95">
        <v>0</v>
      </c>
      <c r="G150" s="95">
        <v>0</v>
      </c>
      <c r="H150" s="95">
        <v>90649036.199999973</v>
      </c>
      <c r="I150" s="95">
        <v>87846091.049999997</v>
      </c>
      <c r="J150" s="96">
        <v>0</v>
      </c>
      <c r="K150" s="95">
        <v>37434170.730000004</v>
      </c>
      <c r="L150" s="95">
        <v>3504500.49</v>
      </c>
      <c r="M150" s="95">
        <v>-1973213.07</v>
      </c>
      <c r="N150" s="95">
        <v>-867337.31</v>
      </c>
      <c r="O150" s="89"/>
      <c r="P150" s="95">
        <v>0</v>
      </c>
      <c r="Q150" s="89"/>
      <c r="R150" s="95">
        <v>0</v>
      </c>
      <c r="S150" s="95">
        <v>0</v>
      </c>
      <c r="T150" s="95">
        <v>0</v>
      </c>
      <c r="U150" s="95">
        <v>38098120.840000004</v>
      </c>
      <c r="V150" s="95">
        <v>37434869.740000002</v>
      </c>
      <c r="W150" s="96">
        <v>0</v>
      </c>
      <c r="X150" s="99">
        <v>0.04</v>
      </c>
    </row>
    <row r="151" spans="1:24" x14ac:dyDescent="0.3">
      <c r="A151" s="71">
        <v>34232</v>
      </c>
      <c r="B151" s="88" t="s">
        <v>383</v>
      </c>
      <c r="C151" s="95">
        <v>106332778.90999998</v>
      </c>
      <c r="D151" s="95">
        <v>45446681.780000001</v>
      </c>
      <c r="E151" s="95">
        <v>-9089336.3699999992</v>
      </c>
      <c r="F151" s="95">
        <v>0</v>
      </c>
      <c r="G151" s="95">
        <v>0</v>
      </c>
      <c r="H151" s="95">
        <v>142690124.31999999</v>
      </c>
      <c r="I151" s="95">
        <v>126971982.84999999</v>
      </c>
      <c r="J151" s="96">
        <v>-4.999995231628418E-3</v>
      </c>
      <c r="K151" s="95">
        <v>47730951.509999961</v>
      </c>
      <c r="L151" s="95">
        <v>4900823.37</v>
      </c>
      <c r="M151" s="95">
        <v>-9089336.3699999992</v>
      </c>
      <c r="N151" s="95">
        <v>-2202545.4</v>
      </c>
      <c r="O151" s="89"/>
      <c r="P151" s="95">
        <v>0</v>
      </c>
      <c r="Q151" s="89"/>
      <c r="R151" s="95">
        <v>0</v>
      </c>
      <c r="S151" s="95">
        <v>0</v>
      </c>
      <c r="T151" s="95">
        <v>0</v>
      </c>
      <c r="U151" s="95">
        <v>41339893.109999962</v>
      </c>
      <c r="V151" s="95">
        <v>43513114.409999996</v>
      </c>
      <c r="W151" s="96">
        <v>5.0000026822090149E-3</v>
      </c>
      <c r="X151" s="99">
        <v>3.9E-2</v>
      </c>
    </row>
    <row r="152" spans="1:24" x14ac:dyDescent="0.3">
      <c r="A152" s="71">
        <v>34233</v>
      </c>
      <c r="B152" s="88" t="s">
        <v>384</v>
      </c>
      <c r="C152" s="95">
        <v>3504877.15</v>
      </c>
      <c r="D152" s="95">
        <v>1495186.45</v>
      </c>
      <c r="E152" s="95">
        <v>-299037.31</v>
      </c>
      <c r="F152" s="95">
        <v>0</v>
      </c>
      <c r="G152" s="95">
        <v>0</v>
      </c>
      <c r="H152" s="95">
        <v>4701026.29</v>
      </c>
      <c r="I152" s="95">
        <v>4223331.0599999996</v>
      </c>
      <c r="J152" s="96">
        <v>-5.0000008195638657E-3</v>
      </c>
      <c r="K152" s="95">
        <v>1258484.7799999991</v>
      </c>
      <c r="L152" s="95">
        <v>133872.75</v>
      </c>
      <c r="M152" s="95">
        <v>-299037.31</v>
      </c>
      <c r="N152" s="95">
        <v>0</v>
      </c>
      <c r="O152" s="89"/>
      <c r="P152" s="95">
        <v>0</v>
      </c>
      <c r="Q152" s="89"/>
      <c r="R152" s="95">
        <v>0</v>
      </c>
      <c r="S152" s="95">
        <v>0</v>
      </c>
      <c r="T152" s="95">
        <v>0</v>
      </c>
      <c r="U152" s="95">
        <v>1093320.219999999</v>
      </c>
      <c r="V152" s="95">
        <v>1141650.71</v>
      </c>
      <c r="W152" s="96">
        <v>0</v>
      </c>
      <c r="X152" s="99">
        <v>3.2000000000000001E-2</v>
      </c>
    </row>
    <row r="153" spans="1:24" x14ac:dyDescent="0.3">
      <c r="A153" s="71">
        <v>34234</v>
      </c>
      <c r="B153" s="88" t="s">
        <v>385</v>
      </c>
      <c r="C153" s="95">
        <v>3362082.59</v>
      </c>
      <c r="D153" s="95">
        <v>27518.71</v>
      </c>
      <c r="E153" s="95">
        <v>-5503.74</v>
      </c>
      <c r="F153" s="95">
        <v>0</v>
      </c>
      <c r="G153" s="95">
        <v>0</v>
      </c>
      <c r="H153" s="95">
        <v>3384097.5599999996</v>
      </c>
      <c r="I153" s="95">
        <v>3379017.18</v>
      </c>
      <c r="J153" s="96">
        <v>0</v>
      </c>
      <c r="K153" s="95">
        <v>1312017.0700000015</v>
      </c>
      <c r="L153" s="95">
        <v>108114.99</v>
      </c>
      <c r="M153" s="95">
        <v>-5503.74</v>
      </c>
      <c r="N153" s="95">
        <v>0</v>
      </c>
      <c r="O153" s="89"/>
      <c r="P153" s="95">
        <v>0</v>
      </c>
      <c r="Q153" s="89"/>
      <c r="R153" s="95">
        <v>0</v>
      </c>
      <c r="S153" s="95">
        <v>0</v>
      </c>
      <c r="T153" s="95">
        <v>0</v>
      </c>
      <c r="U153" s="95">
        <v>1414628.3200000015</v>
      </c>
      <c r="V153" s="95">
        <v>1361779.95</v>
      </c>
      <c r="W153" s="96">
        <v>0</v>
      </c>
      <c r="X153" s="99">
        <v>3.2000000000000001E-2</v>
      </c>
    </row>
    <row r="154" spans="1:24" x14ac:dyDescent="0.3">
      <c r="A154" s="71">
        <v>34235</v>
      </c>
      <c r="B154" s="88" t="s">
        <v>386</v>
      </c>
      <c r="C154" s="95">
        <v>2046084.66</v>
      </c>
      <c r="D154" s="95">
        <v>223213.79</v>
      </c>
      <c r="E154" s="95">
        <v>-44642.75</v>
      </c>
      <c r="F154" s="95">
        <v>0</v>
      </c>
      <c r="G154" s="95">
        <v>0</v>
      </c>
      <c r="H154" s="95">
        <v>2224655.6999999997</v>
      </c>
      <c r="I154" s="95">
        <v>2205914.4300000002</v>
      </c>
      <c r="J154" s="96">
        <v>-4.999999888241291E-3</v>
      </c>
      <c r="K154" s="95">
        <v>816599.95</v>
      </c>
      <c r="L154" s="95">
        <v>72743.61</v>
      </c>
      <c r="M154" s="95">
        <v>-44642.75</v>
      </c>
      <c r="N154" s="95">
        <v>0</v>
      </c>
      <c r="O154" s="89"/>
      <c r="P154" s="95">
        <v>0</v>
      </c>
      <c r="Q154" s="89"/>
      <c r="R154" s="95">
        <v>0</v>
      </c>
      <c r="S154" s="95">
        <v>0</v>
      </c>
      <c r="T154" s="95">
        <v>0</v>
      </c>
      <c r="U154" s="95">
        <v>844700.80999999994</v>
      </c>
      <c r="V154" s="95">
        <v>812751.51</v>
      </c>
      <c r="W154" s="96">
        <v>0</v>
      </c>
      <c r="X154" s="99">
        <v>3.3000000000000002E-2</v>
      </c>
    </row>
    <row r="155" spans="1:24" x14ac:dyDescent="0.3">
      <c r="A155" s="71">
        <v>34236</v>
      </c>
      <c r="B155" s="88" t="s">
        <v>387</v>
      </c>
      <c r="C155" s="95">
        <v>1537279.06</v>
      </c>
      <c r="D155" s="95">
        <v>32014.89</v>
      </c>
      <c r="E155" s="95">
        <v>-6402.98</v>
      </c>
      <c r="F155" s="95">
        <v>0</v>
      </c>
      <c r="G155" s="95">
        <v>0</v>
      </c>
      <c r="H155" s="95">
        <v>1562890.97</v>
      </c>
      <c r="I155" s="95">
        <v>1556980.53</v>
      </c>
      <c r="J155" s="96">
        <v>0</v>
      </c>
      <c r="K155" s="95">
        <v>584211.12999999907</v>
      </c>
      <c r="L155" s="95">
        <v>57590.01</v>
      </c>
      <c r="M155" s="95">
        <v>-6402.98</v>
      </c>
      <c r="N155" s="95">
        <v>0</v>
      </c>
      <c r="O155" s="89"/>
      <c r="P155" s="95">
        <v>0</v>
      </c>
      <c r="Q155" s="89"/>
      <c r="R155" s="95">
        <v>0</v>
      </c>
      <c r="S155" s="95">
        <v>0</v>
      </c>
      <c r="T155" s="95">
        <v>0</v>
      </c>
      <c r="U155" s="95">
        <v>635398.1599999991</v>
      </c>
      <c r="V155" s="95">
        <v>607998.76</v>
      </c>
      <c r="W155" s="96">
        <v>0</v>
      </c>
      <c r="X155" s="99">
        <v>3.6999999999999998E-2</v>
      </c>
    </row>
    <row r="156" spans="1:24" x14ac:dyDescent="0.3">
      <c r="A156" s="71">
        <v>34241</v>
      </c>
      <c r="B156" s="88" t="s">
        <v>388</v>
      </c>
      <c r="C156" s="95">
        <v>0</v>
      </c>
      <c r="D156" s="95">
        <v>0</v>
      </c>
      <c r="E156" s="95">
        <v>0</v>
      </c>
      <c r="F156" s="95">
        <v>0</v>
      </c>
      <c r="G156" s="95">
        <v>0</v>
      </c>
      <c r="H156" s="95">
        <v>0</v>
      </c>
      <c r="I156" s="95">
        <v>0</v>
      </c>
      <c r="J156" s="96">
        <v>0</v>
      </c>
      <c r="K156" s="95">
        <v>0</v>
      </c>
      <c r="L156" s="95">
        <v>0</v>
      </c>
      <c r="M156" s="95">
        <v>0</v>
      </c>
      <c r="N156" s="95">
        <v>0</v>
      </c>
      <c r="O156" s="89"/>
      <c r="P156" s="95">
        <v>0</v>
      </c>
      <c r="Q156" s="89"/>
      <c r="R156" s="95">
        <v>0</v>
      </c>
      <c r="S156" s="95">
        <v>0</v>
      </c>
      <c r="T156" s="95">
        <v>0</v>
      </c>
      <c r="U156" s="95">
        <v>0</v>
      </c>
      <c r="V156" s="95">
        <v>0</v>
      </c>
      <c r="W156" s="96">
        <v>0</v>
      </c>
      <c r="X156" s="99">
        <v>0</v>
      </c>
    </row>
    <row r="157" spans="1:24" x14ac:dyDescent="0.3">
      <c r="A157" s="71">
        <v>34242</v>
      </c>
      <c r="B157" s="88" t="s">
        <v>389</v>
      </c>
      <c r="C157" s="95">
        <v>0</v>
      </c>
      <c r="D157" s="95">
        <v>0</v>
      </c>
      <c r="E157" s="95">
        <v>0</v>
      </c>
      <c r="F157" s="95">
        <v>0</v>
      </c>
      <c r="G157" s="95">
        <v>0</v>
      </c>
      <c r="H157" s="95">
        <v>0</v>
      </c>
      <c r="I157" s="95">
        <v>0</v>
      </c>
      <c r="J157" s="96">
        <v>0</v>
      </c>
      <c r="K157" s="95">
        <v>0</v>
      </c>
      <c r="L157" s="95">
        <v>0</v>
      </c>
      <c r="M157" s="95">
        <v>0</v>
      </c>
      <c r="N157" s="95">
        <v>0</v>
      </c>
      <c r="O157" s="89"/>
      <c r="P157" s="95">
        <v>0</v>
      </c>
      <c r="Q157" s="89"/>
      <c r="R157" s="95">
        <v>0</v>
      </c>
      <c r="S157" s="95">
        <v>0</v>
      </c>
      <c r="T157" s="95">
        <v>0</v>
      </c>
      <c r="U157" s="95">
        <v>0</v>
      </c>
      <c r="V157" s="95">
        <v>0</v>
      </c>
      <c r="W157" s="96">
        <v>0</v>
      </c>
      <c r="X157" s="99">
        <v>0</v>
      </c>
    </row>
    <row r="158" spans="1:24" x14ac:dyDescent="0.3">
      <c r="A158" s="71">
        <v>34243</v>
      </c>
      <c r="B158" s="88" t="s">
        <v>390</v>
      </c>
      <c r="C158" s="95">
        <v>3099379.54</v>
      </c>
      <c r="D158" s="95">
        <v>478949.18</v>
      </c>
      <c r="E158" s="95">
        <v>0</v>
      </c>
      <c r="F158" s="95">
        <v>0</v>
      </c>
      <c r="G158" s="95">
        <v>0</v>
      </c>
      <c r="H158" s="95">
        <v>3578328.72</v>
      </c>
      <c r="I158" s="95">
        <v>3368155.96</v>
      </c>
      <c r="J158" s="96">
        <v>-5.0000003539025784E-3</v>
      </c>
      <c r="K158" s="95">
        <v>1484468.4700000004</v>
      </c>
      <c r="L158" s="95">
        <v>97168.61</v>
      </c>
      <c r="M158" s="95">
        <v>0</v>
      </c>
      <c r="N158" s="95">
        <v>-500</v>
      </c>
      <c r="O158" s="89"/>
      <c r="P158" s="95">
        <v>0</v>
      </c>
      <c r="Q158" s="89"/>
      <c r="R158" s="95">
        <v>0</v>
      </c>
      <c r="S158" s="95">
        <v>0</v>
      </c>
      <c r="T158" s="95">
        <v>0</v>
      </c>
      <c r="U158" s="95">
        <v>1581137.0800000005</v>
      </c>
      <c r="V158" s="95">
        <v>1531382.03</v>
      </c>
      <c r="W158" s="96">
        <v>0</v>
      </c>
      <c r="X158" s="99">
        <v>2.9000000000000001E-2</v>
      </c>
    </row>
    <row r="159" spans="1:24" x14ac:dyDescent="0.3">
      <c r="A159" s="71">
        <v>34244</v>
      </c>
      <c r="B159" s="88" t="s">
        <v>391</v>
      </c>
      <c r="C159" s="95">
        <v>2345111.5</v>
      </c>
      <c r="D159" s="95">
        <v>1722037.28</v>
      </c>
      <c r="E159" s="95">
        <v>-344407.45</v>
      </c>
      <c r="F159" s="95">
        <v>0</v>
      </c>
      <c r="G159" s="95">
        <v>0</v>
      </c>
      <c r="H159" s="95">
        <v>3722741.33</v>
      </c>
      <c r="I159" s="95">
        <v>3543695.6</v>
      </c>
      <c r="J159" s="96">
        <v>-4.9999994225800037E-3</v>
      </c>
      <c r="K159" s="95">
        <v>939704.90000000061</v>
      </c>
      <c r="L159" s="95">
        <v>91748.160000000003</v>
      </c>
      <c r="M159" s="95">
        <v>-344407.45</v>
      </c>
      <c r="N159" s="95">
        <v>-17500</v>
      </c>
      <c r="O159" s="89"/>
      <c r="P159" s="95">
        <v>0</v>
      </c>
      <c r="Q159" s="89"/>
      <c r="R159" s="95">
        <v>0</v>
      </c>
      <c r="S159" s="95">
        <v>0</v>
      </c>
      <c r="T159" s="95">
        <v>0</v>
      </c>
      <c r="U159" s="95">
        <v>669545.61000000057</v>
      </c>
      <c r="V159" s="95">
        <v>678009.77</v>
      </c>
      <c r="W159" s="96">
        <v>0</v>
      </c>
      <c r="X159" s="99">
        <v>2.5999999999999999E-2</v>
      </c>
    </row>
    <row r="160" spans="1:24" x14ac:dyDescent="0.3">
      <c r="A160" s="71">
        <v>34245</v>
      </c>
      <c r="B160" s="88" t="s">
        <v>392</v>
      </c>
      <c r="C160" s="95">
        <v>0</v>
      </c>
      <c r="D160" s="95">
        <v>307028.13</v>
      </c>
      <c r="E160" s="95">
        <v>0</v>
      </c>
      <c r="F160" s="95">
        <v>0</v>
      </c>
      <c r="G160" s="95">
        <v>0</v>
      </c>
      <c r="H160" s="95">
        <v>307028.13</v>
      </c>
      <c r="I160" s="95">
        <v>170422.68</v>
      </c>
      <c r="J160" s="96">
        <v>0</v>
      </c>
      <c r="K160" s="95">
        <v>0</v>
      </c>
      <c r="L160" s="95">
        <v>4612.12</v>
      </c>
      <c r="M160" s="95">
        <v>0</v>
      </c>
      <c r="N160" s="95">
        <v>-20000</v>
      </c>
      <c r="O160" s="89"/>
      <c r="P160" s="95">
        <v>0</v>
      </c>
      <c r="Q160" s="89"/>
      <c r="R160" s="95">
        <v>0</v>
      </c>
      <c r="S160" s="95">
        <v>0</v>
      </c>
      <c r="T160" s="95">
        <v>0</v>
      </c>
      <c r="U160" s="95">
        <v>-15387.880000000001</v>
      </c>
      <c r="V160" s="95">
        <v>-6535.44</v>
      </c>
      <c r="W160" s="96">
        <v>0</v>
      </c>
      <c r="X160" s="99">
        <v>2.9000000000000001E-2</v>
      </c>
    </row>
    <row r="161" spans="1:24" x14ac:dyDescent="0.3">
      <c r="A161" s="71">
        <v>34246</v>
      </c>
      <c r="B161" s="88" t="s">
        <v>393</v>
      </c>
      <c r="C161" s="95">
        <v>0</v>
      </c>
      <c r="D161" s="95">
        <v>388113.43</v>
      </c>
      <c r="E161" s="95">
        <v>0</v>
      </c>
      <c r="F161" s="95">
        <v>0</v>
      </c>
      <c r="G161" s="95">
        <v>0</v>
      </c>
      <c r="H161" s="95">
        <v>388113.43</v>
      </c>
      <c r="I161" s="95">
        <v>219431.53</v>
      </c>
      <c r="J161" s="96">
        <v>-4.9999998300336301E-3</v>
      </c>
      <c r="K161" s="95">
        <v>0</v>
      </c>
      <c r="L161" s="95">
        <v>5955.87</v>
      </c>
      <c r="M161" s="95">
        <v>0</v>
      </c>
      <c r="N161" s="95">
        <v>-21000</v>
      </c>
      <c r="O161" s="89"/>
      <c r="P161" s="95">
        <v>0</v>
      </c>
      <c r="Q161" s="89"/>
      <c r="R161" s="95">
        <v>0</v>
      </c>
      <c r="S161" s="95">
        <v>0</v>
      </c>
      <c r="T161" s="95">
        <v>0</v>
      </c>
      <c r="U161" s="95">
        <v>-15044.130000000001</v>
      </c>
      <c r="V161" s="95">
        <v>-6654.35</v>
      </c>
      <c r="W161" s="96">
        <v>0</v>
      </c>
      <c r="X161" s="99">
        <v>2.9000000000000001E-2</v>
      </c>
    </row>
    <row r="162" spans="1:24" x14ac:dyDescent="0.3">
      <c r="A162" s="71">
        <v>34280</v>
      </c>
      <c r="B162" s="88" t="s">
        <v>394</v>
      </c>
      <c r="C162" s="95">
        <v>10797010.060000001</v>
      </c>
      <c r="D162" s="95">
        <v>2082973.51</v>
      </c>
      <c r="E162" s="95">
        <v>-416594.72</v>
      </c>
      <c r="F162" s="95">
        <v>0</v>
      </c>
      <c r="G162" s="95">
        <v>0</v>
      </c>
      <c r="H162" s="95">
        <v>12463388.85</v>
      </c>
      <c r="I162" s="95">
        <v>11508299</v>
      </c>
      <c r="J162" s="96">
        <v>0</v>
      </c>
      <c r="K162" s="95">
        <v>4209217.3299999991</v>
      </c>
      <c r="L162" s="95">
        <v>342861.24</v>
      </c>
      <c r="M162" s="95">
        <v>-416594.72</v>
      </c>
      <c r="N162" s="95">
        <v>-154376.56</v>
      </c>
      <c r="O162" s="89"/>
      <c r="P162" s="95">
        <v>0</v>
      </c>
      <c r="Q162" s="89"/>
      <c r="R162" s="95">
        <v>0</v>
      </c>
      <c r="S162" s="95">
        <v>0</v>
      </c>
      <c r="T162" s="95">
        <v>0</v>
      </c>
      <c r="U162" s="95">
        <v>3981107.2899999996</v>
      </c>
      <c r="V162" s="95">
        <v>4126336.21</v>
      </c>
      <c r="W162" s="96">
        <v>0</v>
      </c>
      <c r="X162" s="99">
        <v>0.03</v>
      </c>
    </row>
    <row r="163" spans="1:24" x14ac:dyDescent="0.3">
      <c r="A163" s="71">
        <v>34281</v>
      </c>
      <c r="B163" s="88" t="s">
        <v>395</v>
      </c>
      <c r="C163" s="95">
        <v>245866778.05999997</v>
      </c>
      <c r="D163" s="95">
        <v>4154886.77</v>
      </c>
      <c r="E163" s="95">
        <v>-830977.37</v>
      </c>
      <c r="F163" s="95">
        <v>0</v>
      </c>
      <c r="G163" s="95">
        <v>0</v>
      </c>
      <c r="H163" s="95">
        <v>249190687.45999998</v>
      </c>
      <c r="I163" s="95">
        <v>247608600.52000001</v>
      </c>
      <c r="J163" s="96">
        <v>-4.9999654293060303E-3</v>
      </c>
      <c r="K163" s="95">
        <v>144159009.42999995</v>
      </c>
      <c r="L163" s="95">
        <v>10146547.15</v>
      </c>
      <c r="M163" s="95">
        <v>-830977.37</v>
      </c>
      <c r="N163" s="95">
        <v>-73527.759999999995</v>
      </c>
      <c r="O163" s="89"/>
      <c r="P163" s="95">
        <v>0</v>
      </c>
      <c r="Q163" s="89"/>
      <c r="R163" s="95">
        <v>0</v>
      </c>
      <c r="S163" s="95">
        <v>0</v>
      </c>
      <c r="T163" s="95">
        <v>0</v>
      </c>
      <c r="U163" s="95">
        <v>153401051.44999996</v>
      </c>
      <c r="V163" s="95">
        <v>148753972.47</v>
      </c>
      <c r="W163" s="96">
        <v>0</v>
      </c>
      <c r="X163" s="99">
        <v>4.1000000000000002E-2</v>
      </c>
    </row>
    <row r="164" spans="1:24" x14ac:dyDescent="0.3">
      <c r="A164" s="71">
        <v>34282</v>
      </c>
      <c r="B164" s="88" t="s">
        <v>396</v>
      </c>
      <c r="C164" s="95">
        <v>2196160.4500000002</v>
      </c>
      <c r="D164" s="95">
        <v>1906350.2</v>
      </c>
      <c r="E164" s="95">
        <v>-381270.05</v>
      </c>
      <c r="F164" s="95">
        <v>0</v>
      </c>
      <c r="G164" s="95">
        <v>0</v>
      </c>
      <c r="H164" s="95">
        <v>3721240.6000000006</v>
      </c>
      <c r="I164" s="95">
        <v>2370132.9</v>
      </c>
      <c r="J164" s="96">
        <v>0</v>
      </c>
      <c r="K164" s="95">
        <v>738709.91999999981</v>
      </c>
      <c r="L164" s="95">
        <v>97074.240000000005</v>
      </c>
      <c r="M164" s="95">
        <v>-381270.05</v>
      </c>
      <c r="N164" s="95">
        <v>0</v>
      </c>
      <c r="O164" s="89"/>
      <c r="P164" s="95">
        <v>0</v>
      </c>
      <c r="Q164" s="89"/>
      <c r="R164" s="95">
        <v>0</v>
      </c>
      <c r="S164" s="95">
        <v>0</v>
      </c>
      <c r="T164" s="95">
        <v>0</v>
      </c>
      <c r="U164" s="95">
        <v>454514.10999999981</v>
      </c>
      <c r="V164" s="95">
        <v>743367.24</v>
      </c>
      <c r="W164" s="96">
        <v>0</v>
      </c>
      <c r="X164" s="99">
        <v>4.2999999999999997E-2</v>
      </c>
    </row>
    <row r="165" spans="1:24" x14ac:dyDescent="0.3">
      <c r="A165" s="71">
        <v>34283</v>
      </c>
      <c r="B165" s="88" t="s">
        <v>397</v>
      </c>
      <c r="C165" s="95">
        <v>1456397.6199999999</v>
      </c>
      <c r="D165" s="95">
        <v>488366.73</v>
      </c>
      <c r="E165" s="95">
        <v>-97673.34</v>
      </c>
      <c r="F165" s="95">
        <v>0</v>
      </c>
      <c r="G165" s="95">
        <v>0</v>
      </c>
      <c r="H165" s="95">
        <v>1847091.0099999998</v>
      </c>
      <c r="I165" s="95">
        <v>1544086.45</v>
      </c>
      <c r="J165" s="96">
        <v>0</v>
      </c>
      <c r="K165" s="95">
        <v>612236.88999999966</v>
      </c>
      <c r="L165" s="95">
        <v>48602.77</v>
      </c>
      <c r="M165" s="95">
        <v>-97673.34</v>
      </c>
      <c r="N165" s="95">
        <v>0</v>
      </c>
      <c r="O165" s="89"/>
      <c r="P165" s="95">
        <v>0</v>
      </c>
      <c r="Q165" s="89"/>
      <c r="R165" s="95">
        <v>0</v>
      </c>
      <c r="S165" s="95">
        <v>0</v>
      </c>
      <c r="T165" s="95">
        <v>0</v>
      </c>
      <c r="U165" s="95">
        <v>563166.31999999972</v>
      </c>
      <c r="V165" s="95">
        <v>614237.36</v>
      </c>
      <c r="W165" s="96">
        <v>0</v>
      </c>
      <c r="X165" s="99">
        <v>3.2000000000000001E-2</v>
      </c>
    </row>
    <row r="166" spans="1:24" x14ac:dyDescent="0.3">
      <c r="A166" s="71">
        <v>34284</v>
      </c>
      <c r="B166" s="88" t="s">
        <v>398</v>
      </c>
      <c r="C166" s="95">
        <v>2286731.6099999994</v>
      </c>
      <c r="D166" s="95">
        <v>529917.44999999995</v>
      </c>
      <c r="E166" s="95">
        <v>-105983.49</v>
      </c>
      <c r="F166" s="95">
        <v>0</v>
      </c>
      <c r="G166" s="95">
        <v>0</v>
      </c>
      <c r="H166" s="95">
        <v>2710665.5699999994</v>
      </c>
      <c r="I166" s="95">
        <v>2399943.06</v>
      </c>
      <c r="J166" s="96">
        <v>-5.0000003539025784E-3</v>
      </c>
      <c r="K166" s="95">
        <v>329496.87000000023</v>
      </c>
      <c r="L166" s="95">
        <v>66473.39</v>
      </c>
      <c r="M166" s="95">
        <v>-105983.49</v>
      </c>
      <c r="N166" s="95">
        <v>0</v>
      </c>
      <c r="O166" s="89"/>
      <c r="P166" s="95">
        <v>0</v>
      </c>
      <c r="Q166" s="89"/>
      <c r="R166" s="95">
        <v>0</v>
      </c>
      <c r="S166" s="95">
        <v>0</v>
      </c>
      <c r="T166" s="95">
        <v>0</v>
      </c>
      <c r="U166" s="95">
        <v>289986.77000000025</v>
      </c>
      <c r="V166" s="95">
        <v>334017.7</v>
      </c>
      <c r="W166" s="96">
        <v>0</v>
      </c>
      <c r="X166" s="99">
        <v>2.8000000000000001E-2</v>
      </c>
    </row>
    <row r="167" spans="1:24" x14ac:dyDescent="0.3">
      <c r="A167" s="71">
        <v>34285</v>
      </c>
      <c r="B167" s="88" t="s">
        <v>399</v>
      </c>
      <c r="C167" s="95">
        <v>2657353.0100000007</v>
      </c>
      <c r="D167" s="95">
        <v>542001.5</v>
      </c>
      <c r="E167" s="95">
        <v>-108400.3</v>
      </c>
      <c r="F167" s="95">
        <v>0</v>
      </c>
      <c r="G167" s="95">
        <v>0</v>
      </c>
      <c r="H167" s="95">
        <v>3090954.2100000009</v>
      </c>
      <c r="I167" s="95">
        <v>2776735.75</v>
      </c>
      <c r="J167" s="96">
        <v>0</v>
      </c>
      <c r="K167" s="95">
        <v>828131.31999999948</v>
      </c>
      <c r="L167" s="95">
        <v>101770.37</v>
      </c>
      <c r="M167" s="95">
        <v>-108400.3</v>
      </c>
      <c r="N167" s="95">
        <v>0</v>
      </c>
      <c r="O167" s="89"/>
      <c r="P167" s="95">
        <v>0</v>
      </c>
      <c r="Q167" s="89"/>
      <c r="R167" s="95">
        <v>0</v>
      </c>
      <c r="S167" s="95">
        <v>0</v>
      </c>
      <c r="T167" s="95">
        <v>0</v>
      </c>
      <c r="U167" s="95">
        <v>821501.38999999943</v>
      </c>
      <c r="V167" s="95">
        <v>848584.02</v>
      </c>
      <c r="W167" s="96">
        <v>0</v>
      </c>
      <c r="X167" s="99">
        <v>3.6999999999999998E-2</v>
      </c>
    </row>
    <row r="168" spans="1:24" x14ac:dyDescent="0.3">
      <c r="A168" s="71">
        <v>34286</v>
      </c>
      <c r="B168" s="88" t="s">
        <v>400</v>
      </c>
      <c r="C168" s="95">
        <v>213841663.14999992</v>
      </c>
      <c r="D168" s="95">
        <v>1785853.77</v>
      </c>
      <c r="E168" s="95">
        <v>-357170.77</v>
      </c>
      <c r="F168" s="95">
        <v>0</v>
      </c>
      <c r="G168" s="95">
        <v>0</v>
      </c>
      <c r="H168" s="95">
        <v>215270346.14999992</v>
      </c>
      <c r="I168" s="95">
        <v>214458411.93000001</v>
      </c>
      <c r="J168" s="96">
        <v>-4.9999654293060303E-3</v>
      </c>
      <c r="K168" s="95">
        <v>41086480.590000011</v>
      </c>
      <c r="L168" s="95">
        <v>6431722.5199999996</v>
      </c>
      <c r="M168" s="95">
        <v>-357170.77</v>
      </c>
      <c r="N168" s="95">
        <v>-756111.08</v>
      </c>
      <c r="O168" s="89"/>
      <c r="P168" s="95">
        <v>0</v>
      </c>
      <c r="Q168" s="89"/>
      <c r="R168" s="95">
        <v>0</v>
      </c>
      <c r="S168" s="95">
        <v>0</v>
      </c>
      <c r="T168" s="95">
        <v>0</v>
      </c>
      <c r="U168" s="95">
        <v>46404921.260000013</v>
      </c>
      <c r="V168" s="95">
        <v>43768317.770000003</v>
      </c>
      <c r="W168" s="96">
        <v>0</v>
      </c>
      <c r="X168" s="99">
        <v>0.03</v>
      </c>
    </row>
    <row r="169" spans="1:24" x14ac:dyDescent="0.3">
      <c r="A169" s="71">
        <v>34287</v>
      </c>
      <c r="B169" s="88" t="s">
        <v>401</v>
      </c>
      <c r="C169" s="95">
        <v>0</v>
      </c>
      <c r="D169" s="95">
        <v>0</v>
      </c>
      <c r="E169" s="95">
        <v>0</v>
      </c>
      <c r="F169" s="95">
        <v>0</v>
      </c>
      <c r="G169" s="95">
        <v>0</v>
      </c>
      <c r="H169" s="95">
        <v>0</v>
      </c>
      <c r="I169" s="95">
        <v>0</v>
      </c>
      <c r="J169" s="96">
        <v>0</v>
      </c>
      <c r="K169" s="95">
        <v>0</v>
      </c>
      <c r="L169" s="95">
        <v>0</v>
      </c>
      <c r="M169" s="95">
        <v>0</v>
      </c>
      <c r="N169" s="95">
        <v>0</v>
      </c>
      <c r="O169" s="89"/>
      <c r="P169" s="95">
        <v>0</v>
      </c>
      <c r="Q169" s="89"/>
      <c r="R169" s="95">
        <v>0</v>
      </c>
      <c r="S169" s="95">
        <v>0</v>
      </c>
      <c r="T169" s="95">
        <v>0</v>
      </c>
      <c r="U169" s="95">
        <v>0</v>
      </c>
      <c r="V169" s="95">
        <v>0</v>
      </c>
      <c r="W169" s="96">
        <v>0</v>
      </c>
      <c r="X169" s="99">
        <v>0.2</v>
      </c>
    </row>
    <row r="170" spans="1:24" x14ac:dyDescent="0.3">
      <c r="A170" s="71">
        <v>34320</v>
      </c>
      <c r="B170" s="88" t="s">
        <v>402</v>
      </c>
      <c r="C170" s="95">
        <v>0</v>
      </c>
      <c r="D170" s="95">
        <v>0</v>
      </c>
      <c r="E170" s="95">
        <v>0</v>
      </c>
      <c r="F170" s="95">
        <v>0</v>
      </c>
      <c r="G170" s="95">
        <v>0</v>
      </c>
      <c r="H170" s="95">
        <v>0</v>
      </c>
      <c r="I170" s="95">
        <v>0</v>
      </c>
      <c r="J170" s="96">
        <v>0</v>
      </c>
      <c r="K170" s="95">
        <v>0</v>
      </c>
      <c r="L170" s="95">
        <v>0</v>
      </c>
      <c r="M170" s="95">
        <v>0</v>
      </c>
      <c r="N170" s="95">
        <v>0</v>
      </c>
      <c r="O170" s="89"/>
      <c r="P170" s="95">
        <v>0</v>
      </c>
      <c r="Q170" s="89"/>
      <c r="R170" s="95">
        <v>0</v>
      </c>
      <c r="S170" s="95">
        <v>0</v>
      </c>
      <c r="T170" s="95">
        <v>0</v>
      </c>
      <c r="U170" s="95">
        <v>0</v>
      </c>
      <c r="V170" s="95">
        <v>0</v>
      </c>
      <c r="W170" s="96">
        <v>0</v>
      </c>
      <c r="X170" s="99">
        <v>0</v>
      </c>
    </row>
    <row r="171" spans="1:24" x14ac:dyDescent="0.3">
      <c r="A171" s="71">
        <v>34328</v>
      </c>
      <c r="B171" s="88" t="s">
        <v>403</v>
      </c>
      <c r="C171" s="95">
        <v>0</v>
      </c>
      <c r="D171" s="95">
        <v>0</v>
      </c>
      <c r="E171" s="95">
        <v>0</v>
      </c>
      <c r="F171" s="95">
        <v>0</v>
      </c>
      <c r="G171" s="95">
        <v>0</v>
      </c>
      <c r="H171" s="95">
        <v>0</v>
      </c>
      <c r="I171" s="95">
        <v>0</v>
      </c>
      <c r="J171" s="96">
        <v>0</v>
      </c>
      <c r="K171" s="95">
        <v>0</v>
      </c>
      <c r="L171" s="95">
        <v>0</v>
      </c>
      <c r="M171" s="95">
        <v>0</v>
      </c>
      <c r="N171" s="95">
        <v>0</v>
      </c>
      <c r="O171" s="89"/>
      <c r="P171" s="95">
        <v>0</v>
      </c>
      <c r="Q171" s="89"/>
      <c r="R171" s="95">
        <v>0</v>
      </c>
      <c r="S171" s="95">
        <v>0</v>
      </c>
      <c r="T171" s="95">
        <v>0</v>
      </c>
      <c r="U171" s="95">
        <v>0</v>
      </c>
      <c r="V171" s="95">
        <v>0</v>
      </c>
      <c r="W171" s="96">
        <v>0</v>
      </c>
      <c r="X171" s="99">
        <v>0</v>
      </c>
    </row>
    <row r="172" spans="1:24" x14ac:dyDescent="0.3">
      <c r="A172" s="71">
        <v>34330</v>
      </c>
      <c r="B172" s="88" t="s">
        <v>404</v>
      </c>
      <c r="C172" s="95">
        <v>39430136.840000011</v>
      </c>
      <c r="D172" s="95">
        <v>21123922.539999999</v>
      </c>
      <c r="E172" s="95">
        <v>-4224784.54</v>
      </c>
      <c r="F172" s="95">
        <v>0</v>
      </c>
      <c r="G172" s="95">
        <v>0</v>
      </c>
      <c r="H172" s="95">
        <v>56329274.840000011</v>
      </c>
      <c r="I172" s="95">
        <v>51708350.109999999</v>
      </c>
      <c r="J172" s="96">
        <v>0</v>
      </c>
      <c r="K172" s="95">
        <v>16340833.59</v>
      </c>
      <c r="L172" s="95">
        <v>2822780</v>
      </c>
      <c r="M172" s="95">
        <v>-4224784.54</v>
      </c>
      <c r="N172" s="95">
        <v>-684787</v>
      </c>
      <c r="O172" s="89"/>
      <c r="P172" s="95">
        <v>0</v>
      </c>
      <c r="Q172" s="89"/>
      <c r="R172" s="95">
        <v>0</v>
      </c>
      <c r="S172" s="95">
        <v>0</v>
      </c>
      <c r="T172" s="95">
        <v>0</v>
      </c>
      <c r="U172" s="95">
        <v>14254042.050000001</v>
      </c>
      <c r="V172" s="95">
        <v>14132001.59</v>
      </c>
      <c r="W172" s="96">
        <v>0</v>
      </c>
      <c r="X172" s="99">
        <v>5.5E-2</v>
      </c>
    </row>
    <row r="173" spans="1:24" x14ac:dyDescent="0.3">
      <c r="A173" s="71">
        <v>34331</v>
      </c>
      <c r="B173" s="88" t="s">
        <v>405</v>
      </c>
      <c r="C173" s="95">
        <v>249250108.59999996</v>
      </c>
      <c r="D173" s="95">
        <v>9866065.3000000007</v>
      </c>
      <c r="E173" s="95">
        <v>-1973213.07</v>
      </c>
      <c r="F173" s="95">
        <v>0</v>
      </c>
      <c r="G173" s="95">
        <v>0</v>
      </c>
      <c r="H173" s="95">
        <v>257142960.82999998</v>
      </c>
      <c r="I173" s="95">
        <v>254340015.68000001</v>
      </c>
      <c r="J173" s="96">
        <v>0</v>
      </c>
      <c r="K173" s="95">
        <v>92377350.669999957</v>
      </c>
      <c r="L173" s="95">
        <v>15500492.65</v>
      </c>
      <c r="M173" s="95">
        <v>-1973213.07</v>
      </c>
      <c r="N173" s="95">
        <v>-867337.31</v>
      </c>
      <c r="O173" s="89"/>
      <c r="P173" s="95">
        <v>0</v>
      </c>
      <c r="Q173" s="89"/>
      <c r="R173" s="95">
        <v>0</v>
      </c>
      <c r="S173" s="95">
        <v>0</v>
      </c>
      <c r="T173" s="95">
        <v>0</v>
      </c>
      <c r="U173" s="95">
        <v>105037292.93999997</v>
      </c>
      <c r="V173" s="95">
        <v>98360635.689999998</v>
      </c>
      <c r="W173" s="96">
        <v>0</v>
      </c>
      <c r="X173" s="99">
        <v>6.0999999999999999E-2</v>
      </c>
    </row>
    <row r="174" spans="1:24" x14ac:dyDescent="0.3">
      <c r="A174" s="71">
        <v>34332</v>
      </c>
      <c r="B174" s="88" t="s">
        <v>406</v>
      </c>
      <c r="C174" s="95">
        <v>289022237.57999998</v>
      </c>
      <c r="D174" s="95">
        <v>45446681.780000001</v>
      </c>
      <c r="E174" s="95">
        <v>-9089336.3699999992</v>
      </c>
      <c r="F174" s="95">
        <v>0</v>
      </c>
      <c r="G174" s="95">
        <v>0</v>
      </c>
      <c r="H174" s="95">
        <v>325379582.99000001</v>
      </c>
      <c r="I174" s="95">
        <v>309661441.51999998</v>
      </c>
      <c r="J174" s="96">
        <v>-4.9998760223388672E-3</v>
      </c>
      <c r="K174" s="95">
        <v>119641883.83999997</v>
      </c>
      <c r="L174" s="95">
        <v>19117798.969999999</v>
      </c>
      <c r="M174" s="95">
        <v>-9089336.3699999992</v>
      </c>
      <c r="N174" s="95">
        <v>-2202545.4</v>
      </c>
      <c r="O174" s="89"/>
      <c r="P174" s="95">
        <v>0</v>
      </c>
      <c r="Q174" s="89"/>
      <c r="R174" s="95">
        <v>0</v>
      </c>
      <c r="S174" s="95">
        <v>0</v>
      </c>
      <c r="T174" s="95">
        <v>0</v>
      </c>
      <c r="U174" s="95">
        <v>127467801.03999996</v>
      </c>
      <c r="V174" s="95">
        <v>122446396.3</v>
      </c>
      <c r="W174" s="96">
        <v>4.9999803304672241E-3</v>
      </c>
      <c r="X174" s="99">
        <v>6.2E-2</v>
      </c>
    </row>
    <row r="175" spans="1:24" x14ac:dyDescent="0.3">
      <c r="A175" s="71">
        <v>34333</v>
      </c>
      <c r="B175" s="88" t="s">
        <v>407</v>
      </c>
      <c r="C175" s="95">
        <v>15603993.880000001</v>
      </c>
      <c r="D175" s="95">
        <v>1495186.45</v>
      </c>
      <c r="E175" s="95">
        <v>-299037.31</v>
      </c>
      <c r="F175" s="95">
        <v>0</v>
      </c>
      <c r="G175" s="95">
        <v>0</v>
      </c>
      <c r="H175" s="95">
        <v>16800143.020000003</v>
      </c>
      <c r="I175" s="95">
        <v>16322447.789999999</v>
      </c>
      <c r="J175" s="96">
        <v>-5.0000101327896118E-3</v>
      </c>
      <c r="K175" s="95">
        <v>8817695.9400000032</v>
      </c>
      <c r="L175" s="95">
        <v>504761.86</v>
      </c>
      <c r="M175" s="95">
        <v>-299037.31</v>
      </c>
      <c r="N175" s="95">
        <v>0</v>
      </c>
      <c r="O175" s="89"/>
      <c r="P175" s="95">
        <v>0</v>
      </c>
      <c r="Q175" s="89"/>
      <c r="R175" s="95">
        <v>0</v>
      </c>
      <c r="S175" s="95">
        <v>0</v>
      </c>
      <c r="T175" s="95">
        <v>0</v>
      </c>
      <c r="U175" s="95">
        <v>9023420.4900000021</v>
      </c>
      <c r="V175" s="95">
        <v>8886436.3300000001</v>
      </c>
      <c r="W175" s="96">
        <v>0</v>
      </c>
      <c r="X175" s="99">
        <v>3.1E-2</v>
      </c>
    </row>
    <row r="176" spans="1:24" x14ac:dyDescent="0.3">
      <c r="A176" s="71">
        <v>34334</v>
      </c>
      <c r="B176" s="88" t="s">
        <v>408</v>
      </c>
      <c r="C176" s="95">
        <v>16030090</v>
      </c>
      <c r="D176" s="95">
        <v>27518.71</v>
      </c>
      <c r="E176" s="95">
        <v>-5503.74</v>
      </c>
      <c r="F176" s="95">
        <v>0</v>
      </c>
      <c r="G176" s="95">
        <v>0</v>
      </c>
      <c r="H176" s="95">
        <v>16052104.970000001</v>
      </c>
      <c r="I176" s="95">
        <v>16047024.59</v>
      </c>
      <c r="J176" s="96">
        <v>0</v>
      </c>
      <c r="K176" s="95">
        <v>8983790.260000011</v>
      </c>
      <c r="L176" s="95">
        <v>513491.22</v>
      </c>
      <c r="M176" s="95">
        <v>-5503.74</v>
      </c>
      <c r="N176" s="95">
        <v>0</v>
      </c>
      <c r="O176" s="89"/>
      <c r="P176" s="95">
        <v>0</v>
      </c>
      <c r="Q176" s="89"/>
      <c r="R176" s="95">
        <v>0</v>
      </c>
      <c r="S176" s="95">
        <v>0</v>
      </c>
      <c r="T176" s="95">
        <v>0</v>
      </c>
      <c r="U176" s="95">
        <v>9491777.7400000114</v>
      </c>
      <c r="V176" s="95">
        <v>9236241.2699999996</v>
      </c>
      <c r="W176" s="96">
        <v>0</v>
      </c>
      <c r="X176" s="99">
        <v>3.2000000000000001E-2</v>
      </c>
    </row>
    <row r="177" spans="1:24" x14ac:dyDescent="0.3">
      <c r="A177" s="71">
        <v>34335</v>
      </c>
      <c r="B177" s="88" t="s">
        <v>409</v>
      </c>
      <c r="C177" s="95">
        <v>18623181.41</v>
      </c>
      <c r="D177" s="95">
        <v>223213.79</v>
      </c>
      <c r="E177" s="95">
        <v>-44642.75</v>
      </c>
      <c r="F177" s="95">
        <v>0</v>
      </c>
      <c r="G177" s="95">
        <v>0</v>
      </c>
      <c r="H177" s="95">
        <v>18801752.449999999</v>
      </c>
      <c r="I177" s="95">
        <v>18783011.18</v>
      </c>
      <c r="J177" s="96">
        <v>-4.9999989569187164E-3</v>
      </c>
      <c r="K177" s="95">
        <v>11335155.959999992</v>
      </c>
      <c r="L177" s="95">
        <v>638569.27</v>
      </c>
      <c r="M177" s="95">
        <v>-44642.75</v>
      </c>
      <c r="N177" s="95">
        <v>0</v>
      </c>
      <c r="O177" s="89"/>
      <c r="P177" s="95">
        <v>0</v>
      </c>
      <c r="Q177" s="89"/>
      <c r="R177" s="95">
        <v>0</v>
      </c>
      <c r="S177" s="95">
        <v>0</v>
      </c>
      <c r="T177" s="95">
        <v>0</v>
      </c>
      <c r="U177" s="95">
        <v>11929082.479999991</v>
      </c>
      <c r="V177" s="95">
        <v>11614212.390000001</v>
      </c>
      <c r="W177" s="96">
        <v>0</v>
      </c>
      <c r="X177" s="99">
        <v>3.4000000000000002E-2</v>
      </c>
    </row>
    <row r="178" spans="1:24" x14ac:dyDescent="0.3">
      <c r="A178" s="71">
        <v>34336</v>
      </c>
      <c r="B178" s="88" t="s">
        <v>410</v>
      </c>
      <c r="C178" s="95">
        <v>17516480.329999998</v>
      </c>
      <c r="D178" s="95">
        <v>32014.89</v>
      </c>
      <c r="E178" s="95">
        <v>-6402.98</v>
      </c>
      <c r="F178" s="95">
        <v>0</v>
      </c>
      <c r="G178" s="95">
        <v>0</v>
      </c>
      <c r="H178" s="95">
        <v>17542092.239999998</v>
      </c>
      <c r="I178" s="95">
        <v>17536181.800000001</v>
      </c>
      <c r="J178" s="96">
        <v>0</v>
      </c>
      <c r="K178" s="95">
        <v>11026904.619999999</v>
      </c>
      <c r="L178" s="95">
        <v>473463.63</v>
      </c>
      <c r="M178" s="95">
        <v>-6402.98</v>
      </c>
      <c r="N178" s="95">
        <v>0</v>
      </c>
      <c r="O178" s="89"/>
      <c r="P178" s="95">
        <v>0</v>
      </c>
      <c r="Q178" s="89"/>
      <c r="R178" s="95">
        <v>0</v>
      </c>
      <c r="S178" s="95">
        <v>0</v>
      </c>
      <c r="T178" s="95">
        <v>0</v>
      </c>
      <c r="U178" s="95">
        <v>11493965.27</v>
      </c>
      <c r="V178" s="95">
        <v>11258651.220000001</v>
      </c>
      <c r="W178" s="96">
        <v>0</v>
      </c>
      <c r="X178" s="99">
        <v>2.7E-2</v>
      </c>
    </row>
    <row r="179" spans="1:24" x14ac:dyDescent="0.3">
      <c r="A179" s="71">
        <v>34341</v>
      </c>
      <c r="B179" s="88" t="s">
        <v>411</v>
      </c>
      <c r="C179" s="95">
        <v>0</v>
      </c>
      <c r="D179" s="95">
        <v>0</v>
      </c>
      <c r="E179" s="95">
        <v>0</v>
      </c>
      <c r="F179" s="95">
        <v>0</v>
      </c>
      <c r="G179" s="95">
        <v>0</v>
      </c>
      <c r="H179" s="95">
        <v>0</v>
      </c>
      <c r="I179" s="95">
        <v>0</v>
      </c>
      <c r="J179" s="96">
        <v>0</v>
      </c>
      <c r="K179" s="95">
        <v>0</v>
      </c>
      <c r="L179" s="95">
        <v>0</v>
      </c>
      <c r="M179" s="95">
        <v>0</v>
      </c>
      <c r="N179" s="95">
        <v>0</v>
      </c>
      <c r="O179" s="89"/>
      <c r="P179" s="95">
        <v>0</v>
      </c>
      <c r="Q179" s="89"/>
      <c r="R179" s="95">
        <v>0</v>
      </c>
      <c r="S179" s="95">
        <v>0</v>
      </c>
      <c r="T179" s="95">
        <v>0</v>
      </c>
      <c r="U179" s="95">
        <v>0</v>
      </c>
      <c r="V179" s="95">
        <v>0</v>
      </c>
      <c r="W179" s="96">
        <v>0</v>
      </c>
      <c r="X179" s="99">
        <v>0</v>
      </c>
    </row>
    <row r="180" spans="1:24" x14ac:dyDescent="0.3">
      <c r="A180" s="71">
        <v>34342</v>
      </c>
      <c r="B180" s="88" t="s">
        <v>412</v>
      </c>
      <c r="C180" s="95">
        <v>0</v>
      </c>
      <c r="D180" s="95">
        <v>0</v>
      </c>
      <c r="E180" s="95">
        <v>0</v>
      </c>
      <c r="F180" s="95">
        <v>0</v>
      </c>
      <c r="G180" s="95">
        <v>0</v>
      </c>
      <c r="H180" s="95">
        <v>0</v>
      </c>
      <c r="I180" s="95">
        <v>0</v>
      </c>
      <c r="J180" s="96">
        <v>0</v>
      </c>
      <c r="K180" s="95">
        <v>0</v>
      </c>
      <c r="L180" s="95">
        <v>0</v>
      </c>
      <c r="M180" s="95">
        <v>0</v>
      </c>
      <c r="N180" s="95">
        <v>0</v>
      </c>
      <c r="O180" s="89"/>
      <c r="P180" s="95">
        <v>0</v>
      </c>
      <c r="Q180" s="89"/>
      <c r="R180" s="95">
        <v>0</v>
      </c>
      <c r="S180" s="95">
        <v>0</v>
      </c>
      <c r="T180" s="95">
        <v>0</v>
      </c>
      <c r="U180" s="95">
        <v>0</v>
      </c>
      <c r="V180" s="95">
        <v>0</v>
      </c>
      <c r="W180" s="96">
        <v>0</v>
      </c>
      <c r="X180" s="99">
        <v>0</v>
      </c>
    </row>
    <row r="181" spans="1:24" x14ac:dyDescent="0.3">
      <c r="A181" s="71">
        <v>34343</v>
      </c>
      <c r="B181" s="88" t="s">
        <v>413</v>
      </c>
      <c r="C181" s="95">
        <v>458756447.25000006</v>
      </c>
      <c r="D181" s="95">
        <v>478949.18</v>
      </c>
      <c r="E181" s="95">
        <v>0</v>
      </c>
      <c r="F181" s="95">
        <v>0</v>
      </c>
      <c r="G181" s="95">
        <v>0</v>
      </c>
      <c r="H181" s="95">
        <v>459235396.43000007</v>
      </c>
      <c r="I181" s="95">
        <v>459025223.67000002</v>
      </c>
      <c r="J181" s="96">
        <v>-4.999995231628418E-3</v>
      </c>
      <c r="K181" s="95">
        <v>6502884.4999999991</v>
      </c>
      <c r="L181" s="95">
        <v>13311223.560000001</v>
      </c>
      <c r="M181" s="95">
        <v>0</v>
      </c>
      <c r="N181" s="95">
        <v>-500</v>
      </c>
      <c r="O181" s="89"/>
      <c r="P181" s="95">
        <v>0</v>
      </c>
      <c r="Q181" s="89"/>
      <c r="R181" s="95">
        <v>0</v>
      </c>
      <c r="S181" s="95">
        <v>0</v>
      </c>
      <c r="T181" s="95">
        <v>0</v>
      </c>
      <c r="U181" s="95">
        <v>19813608.059999999</v>
      </c>
      <c r="V181" s="95">
        <v>13156825.539999999</v>
      </c>
      <c r="W181" s="96">
        <v>0</v>
      </c>
      <c r="X181" s="99">
        <v>2.9000000000000001E-2</v>
      </c>
    </row>
    <row r="182" spans="1:24" x14ac:dyDescent="0.3">
      <c r="A182" s="71">
        <v>34344</v>
      </c>
      <c r="B182" s="88" t="s">
        <v>414</v>
      </c>
      <c r="C182" s="95">
        <v>20332638.970000003</v>
      </c>
      <c r="D182" s="95">
        <v>1722037.28</v>
      </c>
      <c r="E182" s="95">
        <v>-344407.45</v>
      </c>
      <c r="F182" s="95">
        <v>0</v>
      </c>
      <c r="G182" s="95">
        <v>0</v>
      </c>
      <c r="H182" s="95">
        <v>21710268.800000004</v>
      </c>
      <c r="I182" s="95">
        <v>21531223.07</v>
      </c>
      <c r="J182" s="96">
        <v>-5.0000026822090149E-3</v>
      </c>
      <c r="K182" s="95">
        <v>10842478.809999997</v>
      </c>
      <c r="L182" s="95">
        <v>667005.38</v>
      </c>
      <c r="M182" s="95">
        <v>-344407.45</v>
      </c>
      <c r="N182" s="95">
        <v>-17500</v>
      </c>
      <c r="O182" s="89"/>
      <c r="P182" s="95">
        <v>0</v>
      </c>
      <c r="Q182" s="89"/>
      <c r="R182" s="95">
        <v>0</v>
      </c>
      <c r="S182" s="95">
        <v>0</v>
      </c>
      <c r="T182" s="95">
        <v>0</v>
      </c>
      <c r="U182" s="95">
        <v>11147576.739999998</v>
      </c>
      <c r="V182" s="95">
        <v>10868144.15</v>
      </c>
      <c r="W182" s="96">
        <v>0</v>
      </c>
      <c r="X182" s="99">
        <v>3.1E-2</v>
      </c>
    </row>
    <row r="183" spans="1:24" x14ac:dyDescent="0.3">
      <c r="A183" s="71">
        <v>34345</v>
      </c>
      <c r="B183" s="88" t="s">
        <v>415</v>
      </c>
      <c r="C183" s="95">
        <v>176518355.11999997</v>
      </c>
      <c r="D183" s="95">
        <v>307028.13</v>
      </c>
      <c r="E183" s="95">
        <v>0</v>
      </c>
      <c r="F183" s="95">
        <v>0</v>
      </c>
      <c r="G183" s="95">
        <v>0</v>
      </c>
      <c r="H183" s="95">
        <v>176825383.24999997</v>
      </c>
      <c r="I183" s="95">
        <v>176688777.80000001</v>
      </c>
      <c r="J183" s="96">
        <v>0</v>
      </c>
      <c r="K183" s="95">
        <v>9292356.5699999966</v>
      </c>
      <c r="L183" s="95">
        <v>5123644.41</v>
      </c>
      <c r="M183" s="95">
        <v>0</v>
      </c>
      <c r="N183" s="95">
        <v>-20000</v>
      </c>
      <c r="O183" s="89"/>
      <c r="P183" s="95">
        <v>0</v>
      </c>
      <c r="Q183" s="89"/>
      <c r="R183" s="95">
        <v>0</v>
      </c>
      <c r="S183" s="95">
        <v>0</v>
      </c>
      <c r="T183" s="95">
        <v>0</v>
      </c>
      <c r="U183" s="95">
        <v>14396000.979999997</v>
      </c>
      <c r="V183" s="95">
        <v>11845337.27</v>
      </c>
      <c r="W183" s="96">
        <v>0</v>
      </c>
      <c r="X183" s="99">
        <v>2.9000000000000001E-2</v>
      </c>
    </row>
    <row r="184" spans="1:24" x14ac:dyDescent="0.3">
      <c r="A184" s="71">
        <v>34346</v>
      </c>
      <c r="B184" s="88" t="s">
        <v>416</v>
      </c>
      <c r="C184" s="95">
        <v>175248319.20000002</v>
      </c>
      <c r="D184" s="95">
        <v>388113.43</v>
      </c>
      <c r="E184" s="95">
        <v>0</v>
      </c>
      <c r="F184" s="95">
        <v>0</v>
      </c>
      <c r="G184" s="95">
        <v>0</v>
      </c>
      <c r="H184" s="95">
        <v>175636432.63000003</v>
      </c>
      <c r="I184" s="95">
        <v>175467750.72999999</v>
      </c>
      <c r="J184" s="96">
        <v>-4.9999058246612549E-3</v>
      </c>
      <c r="K184" s="95">
        <v>9238780.0400000028</v>
      </c>
      <c r="L184" s="95">
        <v>5088157.13</v>
      </c>
      <c r="M184" s="95">
        <v>0</v>
      </c>
      <c r="N184" s="95">
        <v>-21000</v>
      </c>
      <c r="O184" s="89"/>
      <c r="P184" s="95">
        <v>0</v>
      </c>
      <c r="Q184" s="89"/>
      <c r="R184" s="95">
        <v>0</v>
      </c>
      <c r="S184" s="95">
        <v>0</v>
      </c>
      <c r="T184" s="95">
        <v>0</v>
      </c>
      <c r="U184" s="95">
        <v>14305937.170000002</v>
      </c>
      <c r="V184" s="95">
        <v>11773226.33</v>
      </c>
      <c r="W184" s="96">
        <v>0</v>
      </c>
      <c r="X184" s="99">
        <v>2.9000000000000001E-2</v>
      </c>
    </row>
    <row r="185" spans="1:24" x14ac:dyDescent="0.3">
      <c r="A185" s="71">
        <v>34352</v>
      </c>
      <c r="B185" s="88" t="s">
        <v>417</v>
      </c>
      <c r="C185" s="95">
        <v>0</v>
      </c>
      <c r="D185" s="95">
        <v>0</v>
      </c>
      <c r="E185" s="95">
        <v>0</v>
      </c>
      <c r="F185" s="95">
        <v>0</v>
      </c>
      <c r="G185" s="95">
        <v>0</v>
      </c>
      <c r="H185" s="95">
        <v>0</v>
      </c>
      <c r="I185" s="95">
        <v>0</v>
      </c>
      <c r="J185" s="96">
        <v>0</v>
      </c>
      <c r="K185" s="95">
        <v>0</v>
      </c>
      <c r="L185" s="95">
        <v>0</v>
      </c>
      <c r="M185" s="95">
        <v>0</v>
      </c>
      <c r="N185" s="95">
        <v>0</v>
      </c>
      <c r="O185" s="89"/>
      <c r="P185" s="95">
        <v>0</v>
      </c>
      <c r="Q185" s="89"/>
      <c r="R185" s="95">
        <v>0</v>
      </c>
      <c r="S185" s="95">
        <v>0</v>
      </c>
      <c r="T185" s="95">
        <v>0</v>
      </c>
      <c r="U185" s="95">
        <v>0</v>
      </c>
      <c r="V185" s="95">
        <v>0</v>
      </c>
      <c r="W185" s="96">
        <v>0</v>
      </c>
      <c r="X185" s="99">
        <v>0</v>
      </c>
    </row>
    <row r="186" spans="1:24" x14ac:dyDescent="0.3">
      <c r="A186" s="71">
        <v>34380</v>
      </c>
      <c r="B186" s="88" t="s">
        <v>418</v>
      </c>
      <c r="C186" s="95">
        <v>11707842.43</v>
      </c>
      <c r="D186" s="95">
        <v>2082973.51</v>
      </c>
      <c r="E186" s="95">
        <v>-416594.72</v>
      </c>
      <c r="F186" s="95">
        <v>0</v>
      </c>
      <c r="G186" s="95">
        <v>0</v>
      </c>
      <c r="H186" s="95">
        <v>13374221.219999999</v>
      </c>
      <c r="I186" s="95">
        <v>12419131.369999999</v>
      </c>
      <c r="J186" s="96">
        <v>0</v>
      </c>
      <c r="K186" s="95">
        <v>2789897.93</v>
      </c>
      <c r="L186" s="95">
        <v>444223.47</v>
      </c>
      <c r="M186" s="95">
        <v>-416594.72</v>
      </c>
      <c r="N186" s="95">
        <v>-154376.56</v>
      </c>
      <c r="O186" s="89"/>
      <c r="P186" s="95">
        <v>0</v>
      </c>
      <c r="Q186" s="89"/>
      <c r="R186" s="95">
        <v>0</v>
      </c>
      <c r="S186" s="95">
        <v>0</v>
      </c>
      <c r="T186" s="95">
        <v>0</v>
      </c>
      <c r="U186" s="95">
        <v>2663150.1200000006</v>
      </c>
      <c r="V186" s="95">
        <v>2757221.97</v>
      </c>
      <c r="W186" s="96">
        <v>0</v>
      </c>
      <c r="X186" s="99">
        <v>3.5999999999999997E-2</v>
      </c>
    </row>
    <row r="187" spans="1:24" x14ac:dyDescent="0.3">
      <c r="A187" s="71">
        <v>34381</v>
      </c>
      <c r="B187" s="88" t="s">
        <v>419</v>
      </c>
      <c r="C187" s="95">
        <v>160695371.31999987</v>
      </c>
      <c r="D187" s="95">
        <v>4154886.77</v>
      </c>
      <c r="E187" s="95">
        <v>-830977.37</v>
      </c>
      <c r="F187" s="95">
        <v>0</v>
      </c>
      <c r="G187" s="95">
        <v>0</v>
      </c>
      <c r="H187" s="95">
        <v>164019280.71999988</v>
      </c>
      <c r="I187" s="95">
        <v>162437193.78</v>
      </c>
      <c r="J187" s="96">
        <v>-4.9999654293060303E-3</v>
      </c>
      <c r="K187" s="95">
        <v>85208742.940000027</v>
      </c>
      <c r="L187" s="95">
        <v>7466046.2199999997</v>
      </c>
      <c r="M187" s="95">
        <v>-830977.37</v>
      </c>
      <c r="N187" s="95">
        <v>-73527.759999999995</v>
      </c>
      <c r="O187" s="89"/>
      <c r="P187" s="95">
        <v>0</v>
      </c>
      <c r="Q187" s="89"/>
      <c r="R187" s="95">
        <v>0</v>
      </c>
      <c r="S187" s="95">
        <v>0</v>
      </c>
      <c r="T187" s="95">
        <v>0</v>
      </c>
      <c r="U187" s="95">
        <v>91770284.030000016</v>
      </c>
      <c r="V187" s="95">
        <v>88462712.700000003</v>
      </c>
      <c r="W187" s="96">
        <v>0</v>
      </c>
      <c r="X187" s="99">
        <v>4.5999999999999999E-2</v>
      </c>
    </row>
    <row r="188" spans="1:24" x14ac:dyDescent="0.3">
      <c r="A188" s="71">
        <v>34382</v>
      </c>
      <c r="B188" s="88" t="s">
        <v>420</v>
      </c>
      <c r="C188" s="95">
        <v>35942249.07</v>
      </c>
      <c r="D188" s="95">
        <v>1906350.2</v>
      </c>
      <c r="E188" s="95">
        <v>-381270.05</v>
      </c>
      <c r="F188" s="95">
        <v>0</v>
      </c>
      <c r="G188" s="95">
        <v>0</v>
      </c>
      <c r="H188" s="95">
        <v>37467329.220000006</v>
      </c>
      <c r="I188" s="95">
        <v>36116221.520000003</v>
      </c>
      <c r="J188" s="96">
        <v>0</v>
      </c>
      <c r="K188" s="95">
        <v>9026163.8000000045</v>
      </c>
      <c r="L188" s="95">
        <v>1764177.83</v>
      </c>
      <c r="M188" s="95">
        <v>-381270.05</v>
      </c>
      <c r="N188" s="95">
        <v>0</v>
      </c>
      <c r="O188" s="89"/>
      <c r="P188" s="95">
        <v>0</v>
      </c>
      <c r="Q188" s="89"/>
      <c r="R188" s="95">
        <v>0</v>
      </c>
      <c r="S188" s="95">
        <v>0</v>
      </c>
      <c r="T188" s="95">
        <v>0</v>
      </c>
      <c r="U188" s="95">
        <v>10409071.580000004</v>
      </c>
      <c r="V188" s="95">
        <v>9864318.9700000007</v>
      </c>
      <c r="W188" s="96">
        <v>0</v>
      </c>
      <c r="X188" s="99">
        <v>4.9000000000000002E-2</v>
      </c>
    </row>
    <row r="189" spans="1:24" x14ac:dyDescent="0.3">
      <c r="A189" s="71">
        <v>34383</v>
      </c>
      <c r="B189" s="88" t="s">
        <v>421</v>
      </c>
      <c r="C189" s="95">
        <v>38320836.579999983</v>
      </c>
      <c r="D189" s="95">
        <v>488366.73</v>
      </c>
      <c r="E189" s="95">
        <v>-97673.34</v>
      </c>
      <c r="F189" s="95">
        <v>0</v>
      </c>
      <c r="G189" s="95">
        <v>0</v>
      </c>
      <c r="H189" s="95">
        <v>38711529.969999976</v>
      </c>
      <c r="I189" s="95">
        <v>38408525.409999996</v>
      </c>
      <c r="J189" s="96">
        <v>0</v>
      </c>
      <c r="K189" s="95">
        <v>22078701.680000026</v>
      </c>
      <c r="L189" s="95">
        <v>1381797.9</v>
      </c>
      <c r="M189" s="95">
        <v>-97673.34</v>
      </c>
      <c r="N189" s="95">
        <v>0</v>
      </c>
      <c r="O189" s="89"/>
      <c r="P189" s="95">
        <v>0</v>
      </c>
      <c r="Q189" s="89"/>
      <c r="R189" s="95">
        <v>0</v>
      </c>
      <c r="S189" s="95">
        <v>0</v>
      </c>
      <c r="T189" s="95">
        <v>0</v>
      </c>
      <c r="U189" s="95">
        <v>23362826.240000024</v>
      </c>
      <c r="V189" s="95">
        <v>22747252.370000001</v>
      </c>
      <c r="W189" s="96">
        <v>0</v>
      </c>
      <c r="X189" s="99">
        <v>3.5999999999999997E-2</v>
      </c>
    </row>
    <row r="190" spans="1:24" x14ac:dyDescent="0.3">
      <c r="A190" s="71">
        <v>34384</v>
      </c>
      <c r="B190" s="88" t="s">
        <v>422</v>
      </c>
      <c r="C190" s="95">
        <v>28306281.440000001</v>
      </c>
      <c r="D190" s="95">
        <v>529917.44999999995</v>
      </c>
      <c r="E190" s="95">
        <v>-105983.49</v>
      </c>
      <c r="F190" s="95">
        <v>0</v>
      </c>
      <c r="G190" s="95">
        <v>0</v>
      </c>
      <c r="H190" s="95">
        <v>28730215.400000002</v>
      </c>
      <c r="I190" s="95">
        <v>28419492.890000001</v>
      </c>
      <c r="J190" s="96">
        <v>-4.999995231628418E-3</v>
      </c>
      <c r="K190" s="95">
        <v>7142964.9100000029</v>
      </c>
      <c r="L190" s="95">
        <v>1334499.18</v>
      </c>
      <c r="M190" s="95">
        <v>-105983.49</v>
      </c>
      <c r="N190" s="95">
        <v>0</v>
      </c>
      <c r="O190" s="89"/>
      <c r="P190" s="95">
        <v>0</v>
      </c>
      <c r="Q190" s="89"/>
      <c r="R190" s="95">
        <v>0</v>
      </c>
      <c r="S190" s="95">
        <v>0</v>
      </c>
      <c r="T190" s="95">
        <v>0</v>
      </c>
      <c r="U190" s="95">
        <v>8371480.6000000034</v>
      </c>
      <c r="V190" s="95">
        <v>7781218.3799999999</v>
      </c>
      <c r="W190" s="96">
        <v>0</v>
      </c>
      <c r="X190" s="99">
        <v>4.7E-2</v>
      </c>
    </row>
    <row r="191" spans="1:24" x14ac:dyDescent="0.3">
      <c r="A191" s="71">
        <v>34385</v>
      </c>
      <c r="B191" s="88" t="s">
        <v>423</v>
      </c>
      <c r="C191" s="95">
        <v>25103996.219999995</v>
      </c>
      <c r="D191" s="95">
        <v>542001.5</v>
      </c>
      <c r="E191" s="95">
        <v>-108400.3</v>
      </c>
      <c r="F191" s="95">
        <v>0</v>
      </c>
      <c r="G191" s="95">
        <v>0</v>
      </c>
      <c r="H191" s="95">
        <v>25537597.419999994</v>
      </c>
      <c r="I191" s="95">
        <v>25223378.960000001</v>
      </c>
      <c r="J191" s="96">
        <v>0</v>
      </c>
      <c r="K191" s="95">
        <v>5730401.6700000027</v>
      </c>
      <c r="L191" s="95">
        <v>1259859.7</v>
      </c>
      <c r="M191" s="95">
        <v>-108400.3</v>
      </c>
      <c r="N191" s="95">
        <v>0</v>
      </c>
      <c r="O191" s="89"/>
      <c r="P191" s="95">
        <v>0</v>
      </c>
      <c r="Q191" s="89"/>
      <c r="R191" s="95">
        <v>0</v>
      </c>
      <c r="S191" s="95">
        <v>0</v>
      </c>
      <c r="T191" s="95">
        <v>0</v>
      </c>
      <c r="U191" s="95">
        <v>6881861.0700000031</v>
      </c>
      <c r="V191" s="95">
        <v>6329692.8700000001</v>
      </c>
      <c r="W191" s="96">
        <v>0</v>
      </c>
      <c r="X191" s="99">
        <v>0.05</v>
      </c>
    </row>
    <row r="192" spans="1:24" x14ac:dyDescent="0.3">
      <c r="A192" s="71">
        <v>34386</v>
      </c>
      <c r="B192" s="88" t="s">
        <v>424</v>
      </c>
      <c r="C192" s="95">
        <v>223922332.48000002</v>
      </c>
      <c r="D192" s="95">
        <v>1785853.77</v>
      </c>
      <c r="E192" s="95">
        <v>-357170.77</v>
      </c>
      <c r="F192" s="95">
        <v>0</v>
      </c>
      <c r="G192" s="95">
        <v>0</v>
      </c>
      <c r="H192" s="95">
        <v>225351015.48000002</v>
      </c>
      <c r="I192" s="95">
        <v>224539081.25999999</v>
      </c>
      <c r="J192" s="96">
        <v>-4.9999654293060303E-3</v>
      </c>
      <c r="K192" s="95">
        <v>43295562.150000006</v>
      </c>
      <c r="L192" s="95">
        <v>6958614.0300000003</v>
      </c>
      <c r="M192" s="95">
        <v>-357170.77</v>
      </c>
      <c r="N192" s="95">
        <v>-756111.08</v>
      </c>
      <c r="O192" s="89"/>
      <c r="P192" s="95">
        <v>0</v>
      </c>
      <c r="Q192" s="89"/>
      <c r="R192" s="95">
        <v>0</v>
      </c>
      <c r="S192" s="95">
        <v>0</v>
      </c>
      <c r="T192" s="95">
        <v>0</v>
      </c>
      <c r="U192" s="95">
        <v>49140894.330000006</v>
      </c>
      <c r="V192" s="95">
        <v>46240785.700000003</v>
      </c>
      <c r="W192" s="96">
        <v>0</v>
      </c>
      <c r="X192" s="99">
        <v>3.1E-2</v>
      </c>
    </row>
    <row r="193" spans="1:24" x14ac:dyDescent="0.3">
      <c r="A193" s="71">
        <v>34390</v>
      </c>
      <c r="B193" s="88" t="s">
        <v>425</v>
      </c>
      <c r="C193" s="95">
        <v>0</v>
      </c>
      <c r="D193" s="95">
        <v>0</v>
      </c>
      <c r="E193" s="95">
        <v>0</v>
      </c>
      <c r="F193" s="95">
        <v>0</v>
      </c>
      <c r="G193" s="95">
        <v>0</v>
      </c>
      <c r="H193" s="95">
        <v>0</v>
      </c>
      <c r="I193" s="95">
        <v>0</v>
      </c>
      <c r="J193" s="96">
        <v>0</v>
      </c>
      <c r="K193" s="95">
        <v>0</v>
      </c>
      <c r="L193" s="95">
        <v>0</v>
      </c>
      <c r="M193" s="95">
        <v>0</v>
      </c>
      <c r="N193" s="95">
        <v>0</v>
      </c>
      <c r="O193" s="89"/>
      <c r="P193" s="95">
        <v>0</v>
      </c>
      <c r="Q193" s="89"/>
      <c r="R193" s="95">
        <v>0</v>
      </c>
      <c r="S193" s="95">
        <v>0</v>
      </c>
      <c r="T193" s="95">
        <v>0</v>
      </c>
      <c r="U193" s="95">
        <v>0</v>
      </c>
      <c r="V193" s="95">
        <v>0</v>
      </c>
      <c r="W193" s="96">
        <v>0</v>
      </c>
      <c r="X193" s="99">
        <v>0</v>
      </c>
    </row>
    <row r="194" spans="1:24" x14ac:dyDescent="0.3">
      <c r="A194" s="71">
        <v>34398</v>
      </c>
      <c r="B194" s="88" t="s">
        <v>426</v>
      </c>
      <c r="C194" s="95">
        <v>940672.19000000018</v>
      </c>
      <c r="D194" s="95">
        <v>0</v>
      </c>
      <c r="E194" s="95">
        <v>0</v>
      </c>
      <c r="F194" s="95">
        <v>0</v>
      </c>
      <c r="G194" s="95">
        <v>0</v>
      </c>
      <c r="H194" s="95">
        <v>940672.19000000018</v>
      </c>
      <c r="I194" s="95">
        <v>940672.19</v>
      </c>
      <c r="J194" s="96">
        <v>0</v>
      </c>
      <c r="K194" s="95">
        <v>25764.69</v>
      </c>
      <c r="L194" s="95">
        <v>31042.2</v>
      </c>
      <c r="M194" s="95">
        <v>0</v>
      </c>
      <c r="N194" s="95">
        <v>0</v>
      </c>
      <c r="O194" s="89"/>
      <c r="P194" s="95">
        <v>0</v>
      </c>
      <c r="Q194" s="89"/>
      <c r="R194" s="95">
        <v>0</v>
      </c>
      <c r="S194" s="95">
        <v>0</v>
      </c>
      <c r="T194" s="95">
        <v>0</v>
      </c>
      <c r="U194" s="95">
        <v>56806.89</v>
      </c>
      <c r="V194" s="95">
        <v>41285.79</v>
      </c>
      <c r="W194" s="96">
        <v>0</v>
      </c>
      <c r="X194" s="99">
        <v>3.3000000000000002E-2</v>
      </c>
    </row>
    <row r="195" spans="1:24" x14ac:dyDescent="0.3">
      <c r="A195" s="71">
        <v>34399</v>
      </c>
      <c r="B195" s="88" t="s">
        <v>427</v>
      </c>
      <c r="C195" s="95">
        <v>802866083.21999979</v>
      </c>
      <c r="D195" s="95">
        <v>157930069.43000001</v>
      </c>
      <c r="E195" s="95">
        <v>0</v>
      </c>
      <c r="F195" s="95">
        <v>0</v>
      </c>
      <c r="G195" s="95">
        <v>0</v>
      </c>
      <c r="H195" s="95">
        <v>960796152.64999986</v>
      </c>
      <c r="I195" s="95">
        <v>822987483.96000004</v>
      </c>
      <c r="J195" s="96">
        <v>0</v>
      </c>
      <c r="K195" s="95">
        <v>69228312.149999991</v>
      </c>
      <c r="L195" s="95">
        <v>23533599.43</v>
      </c>
      <c r="M195" s="95">
        <v>0</v>
      </c>
      <c r="N195" s="95">
        <v>0</v>
      </c>
      <c r="O195" s="89"/>
      <c r="P195" s="95">
        <v>0</v>
      </c>
      <c r="Q195" s="89"/>
      <c r="R195" s="95">
        <v>0</v>
      </c>
      <c r="S195" s="95">
        <v>0</v>
      </c>
      <c r="T195" s="95">
        <v>0</v>
      </c>
      <c r="U195" s="95">
        <v>92761911.579999983</v>
      </c>
      <c r="V195" s="95">
        <v>80967038.810000002</v>
      </c>
      <c r="W195" s="96">
        <v>0</v>
      </c>
      <c r="X195" s="99">
        <v>2.9000000000000001E-2</v>
      </c>
    </row>
    <row r="196" spans="1:24" x14ac:dyDescent="0.3">
      <c r="A196" s="71">
        <v>34520</v>
      </c>
      <c r="B196" s="88" t="s">
        <v>428</v>
      </c>
      <c r="C196" s="95">
        <v>0</v>
      </c>
      <c r="D196" s="95">
        <v>0</v>
      </c>
      <c r="E196" s="95">
        <v>0</v>
      </c>
      <c r="F196" s="95">
        <v>0</v>
      </c>
      <c r="G196" s="95">
        <v>0</v>
      </c>
      <c r="H196" s="95">
        <v>0</v>
      </c>
      <c r="I196" s="95">
        <v>0</v>
      </c>
      <c r="J196" s="96">
        <v>0</v>
      </c>
      <c r="K196" s="95">
        <v>0</v>
      </c>
      <c r="L196" s="95">
        <v>0</v>
      </c>
      <c r="M196" s="95">
        <v>0</v>
      </c>
      <c r="N196" s="95">
        <v>0</v>
      </c>
      <c r="O196" s="89"/>
      <c r="P196" s="95">
        <v>0</v>
      </c>
      <c r="Q196" s="89"/>
      <c r="R196" s="95">
        <v>0</v>
      </c>
      <c r="S196" s="95">
        <v>0</v>
      </c>
      <c r="T196" s="95">
        <v>0</v>
      </c>
      <c r="U196" s="95">
        <v>0</v>
      </c>
      <c r="V196" s="95">
        <v>0</v>
      </c>
      <c r="W196" s="96">
        <v>0</v>
      </c>
      <c r="X196" s="99">
        <v>0</v>
      </c>
    </row>
    <row r="197" spans="1:24" x14ac:dyDescent="0.3">
      <c r="A197" s="71">
        <v>34528</v>
      </c>
      <c r="B197" s="88" t="s">
        <v>429</v>
      </c>
      <c r="C197" s="95">
        <v>0</v>
      </c>
      <c r="D197" s="95">
        <v>0</v>
      </c>
      <c r="E197" s="95">
        <v>0</v>
      </c>
      <c r="F197" s="95">
        <v>0</v>
      </c>
      <c r="G197" s="95">
        <v>0</v>
      </c>
      <c r="H197" s="95">
        <v>0</v>
      </c>
      <c r="I197" s="95">
        <v>0</v>
      </c>
      <c r="J197" s="96">
        <v>0</v>
      </c>
      <c r="K197" s="95">
        <v>0</v>
      </c>
      <c r="L197" s="95">
        <v>0</v>
      </c>
      <c r="M197" s="95">
        <v>0</v>
      </c>
      <c r="N197" s="95">
        <v>0</v>
      </c>
      <c r="O197" s="89"/>
      <c r="P197" s="95">
        <v>0</v>
      </c>
      <c r="Q197" s="89"/>
      <c r="R197" s="95">
        <v>0</v>
      </c>
      <c r="S197" s="95">
        <v>0</v>
      </c>
      <c r="T197" s="95">
        <v>0</v>
      </c>
      <c r="U197" s="95">
        <v>0</v>
      </c>
      <c r="V197" s="95">
        <v>0</v>
      </c>
      <c r="W197" s="96">
        <v>0</v>
      </c>
      <c r="X197" s="99">
        <v>0</v>
      </c>
    </row>
    <row r="198" spans="1:24" x14ac:dyDescent="0.3">
      <c r="A198" s="71">
        <v>34530</v>
      </c>
      <c r="B198" s="88" t="s">
        <v>430</v>
      </c>
      <c r="C198" s="95">
        <v>32858830.609999999</v>
      </c>
      <c r="D198" s="95">
        <v>0</v>
      </c>
      <c r="E198" s="95">
        <v>0</v>
      </c>
      <c r="F198" s="95">
        <v>0</v>
      </c>
      <c r="G198" s="95">
        <v>0</v>
      </c>
      <c r="H198" s="95">
        <v>32858830.609999999</v>
      </c>
      <c r="I198" s="95">
        <v>32858830.609999999</v>
      </c>
      <c r="J198" s="96">
        <v>0</v>
      </c>
      <c r="K198" s="95">
        <v>13053045.500000006</v>
      </c>
      <c r="L198" s="95">
        <v>1084341.3600000001</v>
      </c>
      <c r="M198" s="95">
        <v>0</v>
      </c>
      <c r="N198" s="95">
        <v>0</v>
      </c>
      <c r="O198" s="89"/>
      <c r="P198" s="95">
        <v>0</v>
      </c>
      <c r="Q198" s="89"/>
      <c r="R198" s="95">
        <v>0</v>
      </c>
      <c r="S198" s="95">
        <v>0</v>
      </c>
      <c r="T198" s="95">
        <v>0</v>
      </c>
      <c r="U198" s="95">
        <v>14137386.860000005</v>
      </c>
      <c r="V198" s="95">
        <v>13595216.18</v>
      </c>
      <c r="W198" s="96">
        <v>0</v>
      </c>
      <c r="X198" s="99">
        <v>3.3000000000000002E-2</v>
      </c>
    </row>
    <row r="199" spans="1:24" x14ac:dyDescent="0.3">
      <c r="A199" s="71">
        <v>34531</v>
      </c>
      <c r="B199" s="88" t="s">
        <v>431</v>
      </c>
      <c r="C199" s="95">
        <v>40601976.5</v>
      </c>
      <c r="D199" s="95">
        <v>0</v>
      </c>
      <c r="E199" s="95">
        <v>0</v>
      </c>
      <c r="F199" s="95">
        <v>0</v>
      </c>
      <c r="G199" s="95">
        <v>0</v>
      </c>
      <c r="H199" s="95">
        <v>40601976.5</v>
      </c>
      <c r="I199" s="95">
        <v>40601976.5</v>
      </c>
      <c r="J199" s="96">
        <v>0</v>
      </c>
      <c r="K199" s="95">
        <v>21871805.439999998</v>
      </c>
      <c r="L199" s="95">
        <v>1664681.04</v>
      </c>
      <c r="M199" s="95">
        <v>0</v>
      </c>
      <c r="N199" s="95">
        <v>0</v>
      </c>
      <c r="O199" s="89"/>
      <c r="P199" s="95">
        <v>0</v>
      </c>
      <c r="Q199" s="89"/>
      <c r="R199" s="95">
        <v>0</v>
      </c>
      <c r="S199" s="95">
        <v>0</v>
      </c>
      <c r="T199" s="95">
        <v>0</v>
      </c>
      <c r="U199" s="95">
        <v>23536486.479999997</v>
      </c>
      <c r="V199" s="95">
        <v>22704145.960000001</v>
      </c>
      <c r="W199" s="96">
        <v>0</v>
      </c>
      <c r="X199" s="99">
        <v>4.1000000000000002E-2</v>
      </c>
    </row>
    <row r="200" spans="1:24" x14ac:dyDescent="0.3">
      <c r="A200" s="71">
        <v>34532</v>
      </c>
      <c r="B200" s="88" t="s">
        <v>432</v>
      </c>
      <c r="C200" s="95">
        <v>44600816.68</v>
      </c>
      <c r="D200" s="95">
        <v>122319.88</v>
      </c>
      <c r="E200" s="95">
        <v>-24463.98</v>
      </c>
      <c r="F200" s="95">
        <v>0</v>
      </c>
      <c r="G200" s="95">
        <v>0</v>
      </c>
      <c r="H200" s="95">
        <v>44698672.580000006</v>
      </c>
      <c r="I200" s="95">
        <v>44691145.200000003</v>
      </c>
      <c r="J200" s="96">
        <v>0</v>
      </c>
      <c r="K200" s="95">
        <v>23925999.320000015</v>
      </c>
      <c r="L200" s="95">
        <v>1832311.18</v>
      </c>
      <c r="M200" s="95">
        <v>-24463.98</v>
      </c>
      <c r="N200" s="95">
        <v>0</v>
      </c>
      <c r="O200" s="89"/>
      <c r="P200" s="95">
        <v>0</v>
      </c>
      <c r="Q200" s="89"/>
      <c r="R200" s="95">
        <v>0</v>
      </c>
      <c r="S200" s="95">
        <v>0</v>
      </c>
      <c r="T200" s="95">
        <v>0</v>
      </c>
      <c r="U200" s="95">
        <v>25733846.520000014</v>
      </c>
      <c r="V200" s="95">
        <v>24819431.32</v>
      </c>
      <c r="W200" s="96">
        <v>0</v>
      </c>
      <c r="X200" s="99">
        <v>4.1000000000000002E-2</v>
      </c>
    </row>
    <row r="201" spans="1:24" x14ac:dyDescent="0.3">
      <c r="A201" s="71">
        <v>34533</v>
      </c>
      <c r="B201" s="88" t="s">
        <v>433</v>
      </c>
      <c r="C201" s="95">
        <v>14174190.639999999</v>
      </c>
      <c r="D201" s="95">
        <v>0</v>
      </c>
      <c r="E201" s="95">
        <v>0</v>
      </c>
      <c r="F201" s="95">
        <v>0</v>
      </c>
      <c r="G201" s="95">
        <v>0</v>
      </c>
      <c r="H201" s="95">
        <v>14174190.639999999</v>
      </c>
      <c r="I201" s="95">
        <v>14174190.640000001</v>
      </c>
      <c r="J201" s="96">
        <v>0</v>
      </c>
      <c r="K201" s="95">
        <v>6114801.4899999965</v>
      </c>
      <c r="L201" s="95">
        <v>382703.16</v>
      </c>
      <c r="M201" s="95">
        <v>0</v>
      </c>
      <c r="N201" s="95">
        <v>0</v>
      </c>
      <c r="O201" s="89"/>
      <c r="P201" s="95">
        <v>0</v>
      </c>
      <c r="Q201" s="89"/>
      <c r="R201" s="95">
        <v>0</v>
      </c>
      <c r="S201" s="95">
        <v>0</v>
      </c>
      <c r="T201" s="95">
        <v>0</v>
      </c>
      <c r="U201" s="95">
        <v>6497504.6499999966</v>
      </c>
      <c r="V201" s="95">
        <v>6306153.0700000003</v>
      </c>
      <c r="W201" s="96">
        <v>0</v>
      </c>
      <c r="X201" s="99">
        <v>2.7E-2</v>
      </c>
    </row>
    <row r="202" spans="1:24" x14ac:dyDescent="0.3">
      <c r="A202" s="71">
        <v>34534</v>
      </c>
      <c r="B202" s="88" t="s">
        <v>434</v>
      </c>
      <c r="C202" s="95">
        <v>4189431.02</v>
      </c>
      <c r="D202" s="95">
        <v>0</v>
      </c>
      <c r="E202" s="95">
        <v>0</v>
      </c>
      <c r="F202" s="95">
        <v>0</v>
      </c>
      <c r="G202" s="95">
        <v>0</v>
      </c>
      <c r="H202" s="95">
        <v>4189431.02</v>
      </c>
      <c r="I202" s="95">
        <v>4189431.02</v>
      </c>
      <c r="J202" s="96">
        <v>0</v>
      </c>
      <c r="K202" s="95">
        <v>1942596.889999998</v>
      </c>
      <c r="L202" s="95">
        <v>117304.08</v>
      </c>
      <c r="M202" s="95">
        <v>0</v>
      </c>
      <c r="N202" s="95">
        <v>0</v>
      </c>
      <c r="O202" s="89"/>
      <c r="P202" s="95">
        <v>0</v>
      </c>
      <c r="Q202" s="89"/>
      <c r="R202" s="95">
        <v>0</v>
      </c>
      <c r="S202" s="95">
        <v>0</v>
      </c>
      <c r="T202" s="95">
        <v>0</v>
      </c>
      <c r="U202" s="95">
        <v>2059900.9699999981</v>
      </c>
      <c r="V202" s="95">
        <v>2001248.93</v>
      </c>
      <c r="W202" s="96">
        <v>0</v>
      </c>
      <c r="X202" s="99">
        <v>2.8000000000000001E-2</v>
      </c>
    </row>
    <row r="203" spans="1:24" x14ac:dyDescent="0.3">
      <c r="A203" s="71">
        <v>34535</v>
      </c>
      <c r="B203" s="88" t="s">
        <v>435</v>
      </c>
      <c r="C203" s="95">
        <v>10408627.609999998</v>
      </c>
      <c r="D203" s="95">
        <v>0</v>
      </c>
      <c r="E203" s="95">
        <v>0</v>
      </c>
      <c r="F203" s="95">
        <v>0</v>
      </c>
      <c r="G203" s="95">
        <v>0</v>
      </c>
      <c r="H203" s="95">
        <v>10408627.609999998</v>
      </c>
      <c r="I203" s="95">
        <v>10408627.609999999</v>
      </c>
      <c r="J203" s="96">
        <v>0</v>
      </c>
      <c r="K203" s="95">
        <v>4905262.4699999914</v>
      </c>
      <c r="L203" s="95">
        <v>281032.92</v>
      </c>
      <c r="M203" s="95">
        <v>0</v>
      </c>
      <c r="N203" s="95">
        <v>0</v>
      </c>
      <c r="O203" s="89"/>
      <c r="P203" s="95">
        <v>0</v>
      </c>
      <c r="Q203" s="89"/>
      <c r="R203" s="95">
        <v>0</v>
      </c>
      <c r="S203" s="95">
        <v>0</v>
      </c>
      <c r="T203" s="95">
        <v>0</v>
      </c>
      <c r="U203" s="95">
        <v>5186295.3899999913</v>
      </c>
      <c r="V203" s="95">
        <v>5045778.93</v>
      </c>
      <c r="W203" s="96">
        <v>0</v>
      </c>
      <c r="X203" s="99">
        <v>2.7E-2</v>
      </c>
    </row>
    <row r="204" spans="1:24" x14ac:dyDescent="0.3">
      <c r="A204" s="71">
        <v>34536</v>
      </c>
      <c r="B204" s="88" t="s">
        <v>436</v>
      </c>
      <c r="C204" s="95">
        <v>14353367.069999998</v>
      </c>
      <c r="D204" s="95">
        <v>0</v>
      </c>
      <c r="E204" s="95">
        <v>0</v>
      </c>
      <c r="F204" s="95">
        <v>0</v>
      </c>
      <c r="G204" s="95">
        <v>0</v>
      </c>
      <c r="H204" s="95">
        <v>14353367.069999998</v>
      </c>
      <c r="I204" s="95">
        <v>14353367.07</v>
      </c>
      <c r="J204" s="96">
        <v>0</v>
      </c>
      <c r="K204" s="95">
        <v>6777249.1400000006</v>
      </c>
      <c r="L204" s="95">
        <v>401894.28</v>
      </c>
      <c r="M204" s="95">
        <v>0</v>
      </c>
      <c r="N204" s="95">
        <v>0</v>
      </c>
      <c r="O204" s="89"/>
      <c r="P204" s="95">
        <v>0</v>
      </c>
      <c r="Q204" s="89"/>
      <c r="R204" s="95">
        <v>0</v>
      </c>
      <c r="S204" s="95">
        <v>0</v>
      </c>
      <c r="T204" s="95">
        <v>0</v>
      </c>
      <c r="U204" s="95">
        <v>7179143.4200000009</v>
      </c>
      <c r="V204" s="95">
        <v>6978196.2800000003</v>
      </c>
      <c r="W204" s="96">
        <v>0</v>
      </c>
      <c r="X204" s="99">
        <v>2.8000000000000001E-2</v>
      </c>
    </row>
    <row r="205" spans="1:24" x14ac:dyDescent="0.3">
      <c r="A205" s="71">
        <v>34541</v>
      </c>
      <c r="B205" s="88" t="s">
        <v>437</v>
      </c>
      <c r="C205" s="95">
        <v>0</v>
      </c>
      <c r="D205" s="95">
        <v>0</v>
      </c>
      <c r="E205" s="95">
        <v>0</v>
      </c>
      <c r="F205" s="95">
        <v>0</v>
      </c>
      <c r="G205" s="95">
        <v>0</v>
      </c>
      <c r="H205" s="95">
        <v>0</v>
      </c>
      <c r="I205" s="95">
        <v>0</v>
      </c>
      <c r="J205" s="96">
        <v>0</v>
      </c>
      <c r="K205" s="95">
        <v>0</v>
      </c>
      <c r="L205" s="95">
        <v>0</v>
      </c>
      <c r="M205" s="95">
        <v>0</v>
      </c>
      <c r="N205" s="95">
        <v>0</v>
      </c>
      <c r="O205" s="89"/>
      <c r="P205" s="95">
        <v>0</v>
      </c>
      <c r="Q205" s="89"/>
      <c r="R205" s="95">
        <v>0</v>
      </c>
      <c r="S205" s="95">
        <v>0</v>
      </c>
      <c r="T205" s="95">
        <v>0</v>
      </c>
      <c r="U205" s="95">
        <v>0</v>
      </c>
      <c r="V205" s="95">
        <v>0</v>
      </c>
      <c r="W205" s="96">
        <v>0</v>
      </c>
      <c r="X205" s="99">
        <v>0</v>
      </c>
    </row>
    <row r="206" spans="1:24" x14ac:dyDescent="0.3">
      <c r="A206" s="71">
        <v>34542</v>
      </c>
      <c r="B206" s="88" t="s">
        <v>438</v>
      </c>
      <c r="C206" s="95">
        <v>0</v>
      </c>
      <c r="D206" s="95">
        <v>0</v>
      </c>
      <c r="E206" s="95">
        <v>0</v>
      </c>
      <c r="F206" s="95">
        <v>0</v>
      </c>
      <c r="G206" s="95">
        <v>0</v>
      </c>
      <c r="H206" s="95">
        <v>0</v>
      </c>
      <c r="I206" s="95">
        <v>0</v>
      </c>
      <c r="J206" s="96">
        <v>0</v>
      </c>
      <c r="K206" s="95">
        <v>0</v>
      </c>
      <c r="L206" s="95">
        <v>0</v>
      </c>
      <c r="M206" s="95">
        <v>0</v>
      </c>
      <c r="N206" s="95">
        <v>0</v>
      </c>
      <c r="O206" s="89"/>
      <c r="P206" s="95">
        <v>0</v>
      </c>
      <c r="Q206" s="89"/>
      <c r="R206" s="95">
        <v>0</v>
      </c>
      <c r="S206" s="95">
        <v>0</v>
      </c>
      <c r="T206" s="95">
        <v>0</v>
      </c>
      <c r="U206" s="95">
        <v>0</v>
      </c>
      <c r="V206" s="95">
        <v>0</v>
      </c>
      <c r="W206" s="96">
        <v>0</v>
      </c>
      <c r="X206" s="99">
        <v>0</v>
      </c>
    </row>
    <row r="207" spans="1:24" x14ac:dyDescent="0.3">
      <c r="A207" s="71">
        <v>34543</v>
      </c>
      <c r="B207" s="88" t="s">
        <v>439</v>
      </c>
      <c r="C207" s="95">
        <v>700677.02</v>
      </c>
      <c r="D207" s="95">
        <v>0</v>
      </c>
      <c r="E207" s="95">
        <v>0</v>
      </c>
      <c r="F207" s="95">
        <v>0</v>
      </c>
      <c r="G207" s="95">
        <v>0</v>
      </c>
      <c r="H207" s="95">
        <v>700677.02</v>
      </c>
      <c r="I207" s="95">
        <v>700677.02</v>
      </c>
      <c r="J207" s="96">
        <v>0</v>
      </c>
      <c r="K207" s="95">
        <v>75665.13</v>
      </c>
      <c r="L207" s="95">
        <v>20319.599999999999</v>
      </c>
      <c r="M207" s="95">
        <v>0</v>
      </c>
      <c r="N207" s="95">
        <v>0</v>
      </c>
      <c r="O207" s="89"/>
      <c r="P207" s="95">
        <v>0</v>
      </c>
      <c r="Q207" s="89"/>
      <c r="R207" s="95">
        <v>0</v>
      </c>
      <c r="S207" s="95">
        <v>0</v>
      </c>
      <c r="T207" s="95">
        <v>0</v>
      </c>
      <c r="U207" s="95">
        <v>95984.73000000001</v>
      </c>
      <c r="V207" s="95">
        <v>85824.93</v>
      </c>
      <c r="W207" s="96">
        <v>0</v>
      </c>
      <c r="X207" s="99">
        <v>2.9000000000000001E-2</v>
      </c>
    </row>
    <row r="208" spans="1:24" x14ac:dyDescent="0.3">
      <c r="A208" s="71">
        <v>34544</v>
      </c>
      <c r="B208" s="88" t="s">
        <v>440</v>
      </c>
      <c r="C208" s="95">
        <v>16328713.470000001</v>
      </c>
      <c r="D208" s="95">
        <v>0</v>
      </c>
      <c r="E208" s="95">
        <v>0</v>
      </c>
      <c r="F208" s="95">
        <v>0</v>
      </c>
      <c r="G208" s="95">
        <v>0</v>
      </c>
      <c r="H208" s="95">
        <v>16328713.470000001</v>
      </c>
      <c r="I208" s="95">
        <v>16328713.470000001</v>
      </c>
      <c r="J208" s="96">
        <v>0</v>
      </c>
      <c r="K208" s="95">
        <v>7104565.4700000035</v>
      </c>
      <c r="L208" s="95">
        <v>457203.96</v>
      </c>
      <c r="M208" s="95">
        <v>0</v>
      </c>
      <c r="N208" s="95">
        <v>0</v>
      </c>
      <c r="O208" s="89"/>
      <c r="P208" s="95">
        <v>0</v>
      </c>
      <c r="Q208" s="89"/>
      <c r="R208" s="95">
        <v>0</v>
      </c>
      <c r="S208" s="95">
        <v>0</v>
      </c>
      <c r="T208" s="95">
        <v>0</v>
      </c>
      <c r="U208" s="95">
        <v>7561769.4300000034</v>
      </c>
      <c r="V208" s="95">
        <v>7333167.4500000002</v>
      </c>
      <c r="W208" s="96">
        <v>0</v>
      </c>
      <c r="X208" s="99">
        <v>2.8000000000000001E-2</v>
      </c>
    </row>
    <row r="209" spans="1:24" x14ac:dyDescent="0.3">
      <c r="A209" s="71">
        <v>34545</v>
      </c>
      <c r="B209" s="88" t="s">
        <v>441</v>
      </c>
      <c r="C209" s="95">
        <v>58769.36</v>
      </c>
      <c r="D209" s="95">
        <v>0</v>
      </c>
      <c r="E209" s="95">
        <v>0</v>
      </c>
      <c r="F209" s="95">
        <v>0</v>
      </c>
      <c r="G209" s="95">
        <v>0</v>
      </c>
      <c r="H209" s="95">
        <v>58769.36</v>
      </c>
      <c r="I209" s="95">
        <v>58769.36</v>
      </c>
      <c r="J209" s="96">
        <v>0</v>
      </c>
      <c r="K209" s="95">
        <v>0</v>
      </c>
      <c r="L209" s="95">
        <v>1704.36</v>
      </c>
      <c r="M209" s="95">
        <v>0</v>
      </c>
      <c r="N209" s="95">
        <v>0</v>
      </c>
      <c r="O209" s="89"/>
      <c r="P209" s="95">
        <v>0</v>
      </c>
      <c r="Q209" s="89"/>
      <c r="R209" s="95">
        <v>0</v>
      </c>
      <c r="S209" s="95">
        <v>0</v>
      </c>
      <c r="T209" s="95">
        <v>0</v>
      </c>
      <c r="U209" s="95">
        <v>1704.36</v>
      </c>
      <c r="V209" s="95">
        <v>852.18</v>
      </c>
      <c r="W209" s="96">
        <v>0</v>
      </c>
      <c r="X209" s="99">
        <v>2.9000000000000001E-2</v>
      </c>
    </row>
    <row r="210" spans="1:24" x14ac:dyDescent="0.3">
      <c r="A210" s="71">
        <v>34546</v>
      </c>
      <c r="B210" s="88" t="s">
        <v>442</v>
      </c>
      <c r="C210" s="95">
        <v>19190.82</v>
      </c>
      <c r="D210" s="95">
        <v>0</v>
      </c>
      <c r="E210" s="95">
        <v>0</v>
      </c>
      <c r="F210" s="95">
        <v>0</v>
      </c>
      <c r="G210" s="95">
        <v>0</v>
      </c>
      <c r="H210" s="95">
        <v>19190.82</v>
      </c>
      <c r="I210" s="95">
        <v>19190.82</v>
      </c>
      <c r="J210" s="96">
        <v>0</v>
      </c>
      <c r="K210" s="95">
        <v>129.91</v>
      </c>
      <c r="L210" s="95">
        <v>556.55999999999995</v>
      </c>
      <c r="M210" s="95">
        <v>0</v>
      </c>
      <c r="N210" s="95">
        <v>0</v>
      </c>
      <c r="O210" s="89"/>
      <c r="P210" s="95">
        <v>0</v>
      </c>
      <c r="Q210" s="89"/>
      <c r="R210" s="95">
        <v>0</v>
      </c>
      <c r="S210" s="95">
        <v>0</v>
      </c>
      <c r="T210" s="95">
        <v>0</v>
      </c>
      <c r="U210" s="95">
        <v>686.46999999999991</v>
      </c>
      <c r="V210" s="95">
        <v>408.19</v>
      </c>
      <c r="W210" s="96">
        <v>0</v>
      </c>
      <c r="X210" s="99">
        <v>2.9000000000000001E-2</v>
      </c>
    </row>
    <row r="211" spans="1:24" x14ac:dyDescent="0.3">
      <c r="A211" s="71">
        <v>34580</v>
      </c>
      <c r="B211" s="88" t="s">
        <v>443</v>
      </c>
      <c r="C211" s="95">
        <v>14500596.529999997</v>
      </c>
      <c r="D211" s="95">
        <v>0</v>
      </c>
      <c r="E211" s="95">
        <v>0</v>
      </c>
      <c r="F211" s="95">
        <v>0</v>
      </c>
      <c r="G211" s="95">
        <v>0</v>
      </c>
      <c r="H211" s="95">
        <v>14500596.529999997</v>
      </c>
      <c r="I211" s="95">
        <v>14500596.529999999</v>
      </c>
      <c r="J211" s="96">
        <v>0</v>
      </c>
      <c r="K211" s="95">
        <v>3980454.1399999997</v>
      </c>
      <c r="L211" s="95">
        <v>522021.48</v>
      </c>
      <c r="M211" s="95">
        <v>0</v>
      </c>
      <c r="N211" s="95">
        <v>0</v>
      </c>
      <c r="O211" s="89"/>
      <c r="P211" s="95">
        <v>0</v>
      </c>
      <c r="Q211" s="89"/>
      <c r="R211" s="95">
        <v>0</v>
      </c>
      <c r="S211" s="95">
        <v>0</v>
      </c>
      <c r="T211" s="95">
        <v>0</v>
      </c>
      <c r="U211" s="95">
        <v>4502475.6199999992</v>
      </c>
      <c r="V211" s="95">
        <v>4241464.88</v>
      </c>
      <c r="W211" s="96">
        <v>0</v>
      </c>
      <c r="X211" s="99">
        <v>3.5999999999999997E-2</v>
      </c>
    </row>
    <row r="212" spans="1:24" x14ac:dyDescent="0.3">
      <c r="A212" s="71">
        <v>34581</v>
      </c>
      <c r="B212" s="88" t="s">
        <v>444</v>
      </c>
      <c r="C212" s="95">
        <v>60502604.230000012</v>
      </c>
      <c r="D212" s="95">
        <v>0</v>
      </c>
      <c r="E212" s="95">
        <v>0</v>
      </c>
      <c r="F212" s="95">
        <v>0</v>
      </c>
      <c r="G212" s="95">
        <v>0</v>
      </c>
      <c r="H212" s="95">
        <v>60502604.230000012</v>
      </c>
      <c r="I212" s="95">
        <v>60502604.229999997</v>
      </c>
      <c r="J212" s="96">
        <v>0</v>
      </c>
      <c r="K212" s="95">
        <v>43604659.719999991</v>
      </c>
      <c r="L212" s="95">
        <v>1996585.92</v>
      </c>
      <c r="M212" s="95">
        <v>0</v>
      </c>
      <c r="N212" s="95">
        <v>0</v>
      </c>
      <c r="O212" s="89"/>
      <c r="P212" s="95">
        <v>0</v>
      </c>
      <c r="Q212" s="89"/>
      <c r="R212" s="95">
        <v>0</v>
      </c>
      <c r="S212" s="95">
        <v>0</v>
      </c>
      <c r="T212" s="95">
        <v>0</v>
      </c>
      <c r="U212" s="95">
        <v>45601245.639999993</v>
      </c>
      <c r="V212" s="95">
        <v>44602952.68</v>
      </c>
      <c r="W212" s="96">
        <v>0</v>
      </c>
      <c r="X212" s="99">
        <v>3.3000000000000002E-2</v>
      </c>
    </row>
    <row r="213" spans="1:24" x14ac:dyDescent="0.3">
      <c r="A213" s="71">
        <v>34582</v>
      </c>
      <c r="B213" s="88" t="s">
        <v>445</v>
      </c>
      <c r="C213" s="95">
        <v>19218097.860000003</v>
      </c>
      <c r="D213" s="95">
        <v>0</v>
      </c>
      <c r="E213" s="95">
        <v>0</v>
      </c>
      <c r="F213" s="95">
        <v>0</v>
      </c>
      <c r="G213" s="95">
        <v>0</v>
      </c>
      <c r="H213" s="95">
        <v>19218097.860000003</v>
      </c>
      <c r="I213" s="95">
        <v>19218097.859999999</v>
      </c>
      <c r="J213" s="96">
        <v>0</v>
      </c>
      <c r="K213" s="95">
        <v>10573435.749999998</v>
      </c>
      <c r="L213" s="95">
        <v>653415.36</v>
      </c>
      <c r="M213" s="95">
        <v>0</v>
      </c>
      <c r="N213" s="95">
        <v>0</v>
      </c>
      <c r="O213" s="89"/>
      <c r="P213" s="95">
        <v>0</v>
      </c>
      <c r="Q213" s="89"/>
      <c r="R213" s="95">
        <v>0</v>
      </c>
      <c r="S213" s="95">
        <v>0</v>
      </c>
      <c r="T213" s="95">
        <v>0</v>
      </c>
      <c r="U213" s="95">
        <v>11226851.109999998</v>
      </c>
      <c r="V213" s="95">
        <v>10900143.43</v>
      </c>
      <c r="W213" s="96">
        <v>0</v>
      </c>
      <c r="X213" s="99">
        <v>3.4000000000000002E-2</v>
      </c>
    </row>
    <row r="214" spans="1:24" x14ac:dyDescent="0.3">
      <c r="A214" s="71">
        <v>34583</v>
      </c>
      <c r="B214" s="88" t="s">
        <v>446</v>
      </c>
      <c r="C214" s="95">
        <v>9146691.5499999989</v>
      </c>
      <c r="D214" s="95">
        <v>0</v>
      </c>
      <c r="E214" s="95">
        <v>0</v>
      </c>
      <c r="F214" s="95">
        <v>0</v>
      </c>
      <c r="G214" s="95">
        <v>0</v>
      </c>
      <c r="H214" s="95">
        <v>9146691.5499999989</v>
      </c>
      <c r="I214" s="95">
        <v>9146691.5500000007</v>
      </c>
      <c r="J214" s="96">
        <v>0</v>
      </c>
      <c r="K214" s="95">
        <v>5598514.7299999921</v>
      </c>
      <c r="L214" s="95">
        <v>347574.24</v>
      </c>
      <c r="M214" s="95">
        <v>0</v>
      </c>
      <c r="N214" s="95">
        <v>0</v>
      </c>
      <c r="O214" s="89"/>
      <c r="P214" s="95">
        <v>0</v>
      </c>
      <c r="Q214" s="89"/>
      <c r="R214" s="95">
        <v>0</v>
      </c>
      <c r="S214" s="95">
        <v>0</v>
      </c>
      <c r="T214" s="95">
        <v>0</v>
      </c>
      <c r="U214" s="95">
        <v>5946088.9699999923</v>
      </c>
      <c r="V214" s="95">
        <v>5772301.8499999996</v>
      </c>
      <c r="W214" s="96">
        <v>0</v>
      </c>
      <c r="X214" s="99">
        <v>3.7999999999999999E-2</v>
      </c>
    </row>
    <row r="215" spans="1:24" x14ac:dyDescent="0.3">
      <c r="A215" s="71">
        <v>34584</v>
      </c>
      <c r="B215" s="88" t="s">
        <v>447</v>
      </c>
      <c r="C215" s="95">
        <v>5586747.4299999997</v>
      </c>
      <c r="D215" s="95">
        <v>0</v>
      </c>
      <c r="E215" s="95">
        <v>0</v>
      </c>
      <c r="F215" s="95">
        <v>0</v>
      </c>
      <c r="G215" s="95">
        <v>0</v>
      </c>
      <c r="H215" s="95">
        <v>5586747.4299999997</v>
      </c>
      <c r="I215" s="95">
        <v>5586747.4299999997</v>
      </c>
      <c r="J215" s="96">
        <v>0</v>
      </c>
      <c r="K215" s="95">
        <v>3298246.1299999952</v>
      </c>
      <c r="L215" s="95">
        <v>139668.72</v>
      </c>
      <c r="M215" s="95">
        <v>0</v>
      </c>
      <c r="N215" s="95">
        <v>0</v>
      </c>
      <c r="O215" s="89"/>
      <c r="P215" s="95">
        <v>0</v>
      </c>
      <c r="Q215" s="89"/>
      <c r="R215" s="95">
        <v>0</v>
      </c>
      <c r="S215" s="95">
        <v>0</v>
      </c>
      <c r="T215" s="95">
        <v>0</v>
      </c>
      <c r="U215" s="95">
        <v>3437914.8499999954</v>
      </c>
      <c r="V215" s="95">
        <v>3368080.49</v>
      </c>
      <c r="W215" s="96">
        <v>0</v>
      </c>
      <c r="X215" s="99">
        <v>2.5000000000000001E-2</v>
      </c>
    </row>
    <row r="216" spans="1:24" x14ac:dyDescent="0.3">
      <c r="A216" s="71">
        <v>34585</v>
      </c>
      <c r="B216" s="88" t="s">
        <v>448</v>
      </c>
      <c r="C216" s="95">
        <v>5489268.9800000014</v>
      </c>
      <c r="D216" s="95">
        <v>0</v>
      </c>
      <c r="E216" s="95">
        <v>0</v>
      </c>
      <c r="F216" s="95">
        <v>0</v>
      </c>
      <c r="G216" s="95">
        <v>0</v>
      </c>
      <c r="H216" s="95">
        <v>5489268.9800000014</v>
      </c>
      <c r="I216" s="95">
        <v>5489268.9800000004</v>
      </c>
      <c r="J216" s="96">
        <v>0</v>
      </c>
      <c r="K216" s="95">
        <v>3270830.9799999981</v>
      </c>
      <c r="L216" s="95">
        <v>142721.04</v>
      </c>
      <c r="M216" s="95">
        <v>0</v>
      </c>
      <c r="N216" s="95">
        <v>0</v>
      </c>
      <c r="O216" s="89"/>
      <c r="P216" s="95">
        <v>0</v>
      </c>
      <c r="Q216" s="89"/>
      <c r="R216" s="95">
        <v>0</v>
      </c>
      <c r="S216" s="95">
        <v>0</v>
      </c>
      <c r="T216" s="95">
        <v>0</v>
      </c>
      <c r="U216" s="95">
        <v>3413552.0199999982</v>
      </c>
      <c r="V216" s="95">
        <v>3342191.5</v>
      </c>
      <c r="W216" s="96">
        <v>0</v>
      </c>
      <c r="X216" s="99">
        <v>2.5999999999999999E-2</v>
      </c>
    </row>
    <row r="217" spans="1:24" x14ac:dyDescent="0.3">
      <c r="A217" s="71">
        <v>34586</v>
      </c>
      <c r="B217" s="88" t="s">
        <v>449</v>
      </c>
      <c r="C217" s="95">
        <v>18338595.009999998</v>
      </c>
      <c r="D217" s="95">
        <v>0</v>
      </c>
      <c r="E217" s="95">
        <v>0</v>
      </c>
      <c r="F217" s="95">
        <v>0</v>
      </c>
      <c r="G217" s="95">
        <v>0</v>
      </c>
      <c r="H217" s="95">
        <v>18338595.009999998</v>
      </c>
      <c r="I217" s="95">
        <v>18338595.010000002</v>
      </c>
      <c r="J217" s="96">
        <v>0</v>
      </c>
      <c r="K217" s="95">
        <v>4015180.6499999994</v>
      </c>
      <c r="L217" s="95">
        <v>550157.88</v>
      </c>
      <c r="M217" s="95">
        <v>0</v>
      </c>
      <c r="N217" s="95">
        <v>0</v>
      </c>
      <c r="O217" s="89"/>
      <c r="P217" s="95">
        <v>0</v>
      </c>
      <c r="Q217" s="89"/>
      <c r="R217" s="95">
        <v>0</v>
      </c>
      <c r="S217" s="95">
        <v>0</v>
      </c>
      <c r="T217" s="95">
        <v>0</v>
      </c>
      <c r="U217" s="95">
        <v>4565338.5299999993</v>
      </c>
      <c r="V217" s="95">
        <v>4290259.59</v>
      </c>
      <c r="W217" s="96">
        <v>0</v>
      </c>
      <c r="X217" s="99">
        <v>0.03</v>
      </c>
    </row>
    <row r="218" spans="1:24" x14ac:dyDescent="0.3">
      <c r="A218" s="71">
        <v>34598</v>
      </c>
      <c r="B218" s="88" t="s">
        <v>450</v>
      </c>
      <c r="C218" s="95">
        <v>0</v>
      </c>
      <c r="D218" s="95">
        <v>0</v>
      </c>
      <c r="E218" s="95">
        <v>0</v>
      </c>
      <c r="F218" s="95">
        <v>0</v>
      </c>
      <c r="G218" s="95">
        <v>0</v>
      </c>
      <c r="H218" s="95">
        <v>0</v>
      </c>
      <c r="I218" s="95">
        <v>0</v>
      </c>
      <c r="J218" s="96">
        <v>0</v>
      </c>
      <c r="K218" s="95">
        <v>0</v>
      </c>
      <c r="L218" s="95">
        <v>0</v>
      </c>
      <c r="M218" s="95">
        <v>0</v>
      </c>
      <c r="N218" s="95">
        <v>0</v>
      </c>
      <c r="O218" s="89"/>
      <c r="P218" s="95">
        <v>0</v>
      </c>
      <c r="Q218" s="89"/>
      <c r="R218" s="95">
        <v>0</v>
      </c>
      <c r="S218" s="95">
        <v>0</v>
      </c>
      <c r="T218" s="95">
        <v>0</v>
      </c>
      <c r="U218" s="95">
        <v>0</v>
      </c>
      <c r="V218" s="95">
        <v>0</v>
      </c>
      <c r="W218" s="96">
        <v>0</v>
      </c>
      <c r="X218" s="99">
        <v>3.3000000000000002E-2</v>
      </c>
    </row>
    <row r="219" spans="1:24" x14ac:dyDescent="0.3">
      <c r="A219" s="71">
        <v>34599</v>
      </c>
      <c r="B219" s="88" t="s">
        <v>451</v>
      </c>
      <c r="C219" s="95">
        <v>324613475.78000015</v>
      </c>
      <c r="D219" s="95">
        <v>0</v>
      </c>
      <c r="E219" s="95">
        <v>0</v>
      </c>
      <c r="F219" s="95">
        <v>0</v>
      </c>
      <c r="G219" s="95">
        <v>0</v>
      </c>
      <c r="H219" s="95">
        <v>324613475.78000015</v>
      </c>
      <c r="I219" s="95">
        <v>324613475.77999997</v>
      </c>
      <c r="J219" s="96">
        <v>0</v>
      </c>
      <c r="K219" s="95">
        <v>28031541.849999998</v>
      </c>
      <c r="L219" s="95">
        <v>9413790.8399999999</v>
      </c>
      <c r="M219" s="95">
        <v>0</v>
      </c>
      <c r="N219" s="95">
        <v>0</v>
      </c>
      <c r="O219" s="89"/>
      <c r="P219" s="95">
        <v>0</v>
      </c>
      <c r="Q219" s="89"/>
      <c r="R219" s="95">
        <v>0</v>
      </c>
      <c r="S219" s="95">
        <v>0</v>
      </c>
      <c r="T219" s="95">
        <v>0</v>
      </c>
      <c r="U219" s="95">
        <v>37445332.689999998</v>
      </c>
      <c r="V219" s="95">
        <v>32738437.27</v>
      </c>
      <c r="W219" s="96">
        <v>0</v>
      </c>
      <c r="X219" s="99">
        <v>2.9000000000000001E-2</v>
      </c>
    </row>
    <row r="220" spans="1:24" x14ac:dyDescent="0.3">
      <c r="A220" s="71">
        <v>34620</v>
      </c>
      <c r="B220" s="88" t="s">
        <v>452</v>
      </c>
      <c r="C220" s="95">
        <v>0</v>
      </c>
      <c r="D220" s="95">
        <v>0</v>
      </c>
      <c r="E220" s="95">
        <v>0</v>
      </c>
      <c r="F220" s="95">
        <v>0</v>
      </c>
      <c r="G220" s="95">
        <v>0</v>
      </c>
      <c r="H220" s="95">
        <v>0</v>
      </c>
      <c r="I220" s="95">
        <v>0</v>
      </c>
      <c r="J220" s="96">
        <v>0</v>
      </c>
      <c r="K220" s="95">
        <v>0</v>
      </c>
      <c r="L220" s="95">
        <v>0</v>
      </c>
      <c r="M220" s="95">
        <v>0</v>
      </c>
      <c r="N220" s="95">
        <v>0</v>
      </c>
      <c r="O220" s="89"/>
      <c r="P220" s="95">
        <v>0</v>
      </c>
      <c r="Q220" s="89"/>
      <c r="R220" s="95">
        <v>0</v>
      </c>
      <c r="S220" s="95">
        <v>0</v>
      </c>
      <c r="T220" s="95">
        <v>0</v>
      </c>
      <c r="U220" s="95">
        <v>0</v>
      </c>
      <c r="V220" s="95">
        <v>0</v>
      </c>
      <c r="W220" s="96">
        <v>0</v>
      </c>
      <c r="X220" s="99">
        <v>0</v>
      </c>
    </row>
    <row r="221" spans="1:24" x14ac:dyDescent="0.3">
      <c r="A221" s="71">
        <v>34628</v>
      </c>
      <c r="B221" s="88" t="s">
        <v>453</v>
      </c>
      <c r="C221" s="95">
        <v>0</v>
      </c>
      <c r="D221" s="95">
        <v>0</v>
      </c>
      <c r="E221" s="95">
        <v>0</v>
      </c>
      <c r="F221" s="95">
        <v>0</v>
      </c>
      <c r="G221" s="95">
        <v>0</v>
      </c>
      <c r="H221" s="95">
        <v>0</v>
      </c>
      <c r="I221" s="95">
        <v>0</v>
      </c>
      <c r="J221" s="96">
        <v>0</v>
      </c>
      <c r="K221" s="95">
        <v>0</v>
      </c>
      <c r="L221" s="95">
        <v>0</v>
      </c>
      <c r="M221" s="95">
        <v>0</v>
      </c>
      <c r="N221" s="95">
        <v>0</v>
      </c>
      <c r="O221" s="89"/>
      <c r="P221" s="95">
        <v>0</v>
      </c>
      <c r="Q221" s="89"/>
      <c r="R221" s="95">
        <v>0</v>
      </c>
      <c r="S221" s="95">
        <v>0</v>
      </c>
      <c r="T221" s="95">
        <v>0</v>
      </c>
      <c r="U221" s="95">
        <v>0</v>
      </c>
      <c r="V221" s="95">
        <v>0</v>
      </c>
      <c r="W221" s="96">
        <v>0</v>
      </c>
      <c r="X221" s="99">
        <v>0</v>
      </c>
    </row>
    <row r="222" spans="1:24" x14ac:dyDescent="0.3">
      <c r="A222" s="71">
        <v>34630</v>
      </c>
      <c r="B222" s="88" t="s">
        <v>454</v>
      </c>
      <c r="C222" s="95">
        <v>11491776.410000002</v>
      </c>
      <c r="D222" s="95">
        <v>0</v>
      </c>
      <c r="E222" s="95">
        <v>0</v>
      </c>
      <c r="F222" s="95">
        <v>0</v>
      </c>
      <c r="G222" s="95">
        <v>0</v>
      </c>
      <c r="H222" s="95">
        <v>11491776.410000002</v>
      </c>
      <c r="I222" s="95">
        <v>11491776.41</v>
      </c>
      <c r="J222" s="96">
        <v>0</v>
      </c>
      <c r="K222" s="95">
        <v>4942695.6900000004</v>
      </c>
      <c r="L222" s="95">
        <v>459671.03999999998</v>
      </c>
      <c r="M222" s="95">
        <v>0</v>
      </c>
      <c r="N222" s="95">
        <v>0</v>
      </c>
      <c r="O222" s="89"/>
      <c r="P222" s="95">
        <v>0</v>
      </c>
      <c r="Q222" s="89"/>
      <c r="R222" s="95">
        <v>0</v>
      </c>
      <c r="S222" s="95">
        <v>0</v>
      </c>
      <c r="T222" s="95">
        <v>0</v>
      </c>
      <c r="U222" s="95">
        <v>5402366.7300000004</v>
      </c>
      <c r="V222" s="95">
        <v>5172531.21</v>
      </c>
      <c r="W222" s="96">
        <v>0</v>
      </c>
      <c r="X222" s="99">
        <v>0.04</v>
      </c>
    </row>
    <row r="223" spans="1:24" x14ac:dyDescent="0.3">
      <c r="A223" s="71">
        <v>34631</v>
      </c>
      <c r="B223" s="88" t="s">
        <v>455</v>
      </c>
      <c r="C223" s="95">
        <v>1175705.21</v>
      </c>
      <c r="D223" s="95">
        <v>0</v>
      </c>
      <c r="E223" s="95">
        <v>0</v>
      </c>
      <c r="F223" s="95">
        <v>0</v>
      </c>
      <c r="G223" s="95">
        <v>0</v>
      </c>
      <c r="H223" s="95">
        <v>1175705.21</v>
      </c>
      <c r="I223" s="95">
        <v>1175705.21</v>
      </c>
      <c r="J223" s="96">
        <v>0</v>
      </c>
      <c r="K223" s="95">
        <v>635808.63999999932</v>
      </c>
      <c r="L223" s="95">
        <v>37622.519999999997</v>
      </c>
      <c r="M223" s="95">
        <v>0</v>
      </c>
      <c r="N223" s="95">
        <v>0</v>
      </c>
      <c r="O223" s="89"/>
      <c r="P223" s="95">
        <v>0</v>
      </c>
      <c r="Q223" s="89"/>
      <c r="R223" s="95">
        <v>0</v>
      </c>
      <c r="S223" s="95">
        <v>0</v>
      </c>
      <c r="T223" s="95">
        <v>0</v>
      </c>
      <c r="U223" s="95">
        <v>673431.15999999933</v>
      </c>
      <c r="V223" s="95">
        <v>654619.9</v>
      </c>
      <c r="W223" s="96">
        <v>0</v>
      </c>
      <c r="X223" s="99">
        <v>3.2000000000000001E-2</v>
      </c>
    </row>
    <row r="224" spans="1:24" x14ac:dyDescent="0.3">
      <c r="A224" s="71">
        <v>34632</v>
      </c>
      <c r="B224" s="88" t="s">
        <v>456</v>
      </c>
      <c r="C224" s="95">
        <v>1455592.35</v>
      </c>
      <c r="D224" s="95">
        <v>0</v>
      </c>
      <c r="E224" s="95">
        <v>0</v>
      </c>
      <c r="F224" s="95">
        <v>0</v>
      </c>
      <c r="G224" s="95">
        <v>0</v>
      </c>
      <c r="H224" s="95">
        <v>1455592.35</v>
      </c>
      <c r="I224" s="95">
        <v>1455592.35</v>
      </c>
      <c r="J224" s="96">
        <v>0</v>
      </c>
      <c r="K224" s="95">
        <v>805754.18000000017</v>
      </c>
      <c r="L224" s="95">
        <v>48034.559999999998</v>
      </c>
      <c r="M224" s="95">
        <v>0</v>
      </c>
      <c r="N224" s="95">
        <v>0</v>
      </c>
      <c r="O224" s="89"/>
      <c r="P224" s="95">
        <v>0</v>
      </c>
      <c r="Q224" s="89"/>
      <c r="R224" s="95">
        <v>0</v>
      </c>
      <c r="S224" s="95">
        <v>0</v>
      </c>
      <c r="T224" s="95">
        <v>0</v>
      </c>
      <c r="U224" s="95">
        <v>853788.74000000022</v>
      </c>
      <c r="V224" s="95">
        <v>829771.46</v>
      </c>
      <c r="W224" s="96">
        <v>0</v>
      </c>
      <c r="X224" s="99">
        <v>3.3000000000000002E-2</v>
      </c>
    </row>
    <row r="225" spans="1:24" x14ac:dyDescent="0.3">
      <c r="A225" s="71">
        <v>34633</v>
      </c>
      <c r="B225" s="88" t="s">
        <v>457</v>
      </c>
      <c r="C225" s="95">
        <v>904.61</v>
      </c>
      <c r="D225" s="95">
        <v>0</v>
      </c>
      <c r="E225" s="95">
        <v>0</v>
      </c>
      <c r="F225" s="95">
        <v>0</v>
      </c>
      <c r="G225" s="95">
        <v>0</v>
      </c>
      <c r="H225" s="95">
        <v>904.61</v>
      </c>
      <c r="I225" s="95">
        <v>904.61</v>
      </c>
      <c r="J225" s="96">
        <v>0</v>
      </c>
      <c r="K225" s="95">
        <v>456.24000000000007</v>
      </c>
      <c r="L225" s="95">
        <v>30.72</v>
      </c>
      <c r="M225" s="95">
        <v>0</v>
      </c>
      <c r="N225" s="95">
        <v>0</v>
      </c>
      <c r="O225" s="89"/>
      <c r="P225" s="95">
        <v>0</v>
      </c>
      <c r="Q225" s="89"/>
      <c r="R225" s="95">
        <v>0</v>
      </c>
      <c r="S225" s="95">
        <v>0</v>
      </c>
      <c r="T225" s="95">
        <v>0</v>
      </c>
      <c r="U225" s="95">
        <v>486.96000000000004</v>
      </c>
      <c r="V225" s="95">
        <v>471.6</v>
      </c>
      <c r="W225" s="96">
        <v>0</v>
      </c>
      <c r="X225" s="99">
        <v>3.4000000000000002E-2</v>
      </c>
    </row>
    <row r="226" spans="1:24" x14ac:dyDescent="0.3">
      <c r="A226" s="71">
        <v>34634</v>
      </c>
      <c r="B226" s="88" t="s">
        <v>458</v>
      </c>
      <c r="C226" s="95">
        <v>904.61</v>
      </c>
      <c r="D226" s="95">
        <v>0</v>
      </c>
      <c r="E226" s="95">
        <v>0</v>
      </c>
      <c r="F226" s="95">
        <v>0</v>
      </c>
      <c r="G226" s="95">
        <v>0</v>
      </c>
      <c r="H226" s="95">
        <v>904.61</v>
      </c>
      <c r="I226" s="95">
        <v>904.61</v>
      </c>
      <c r="J226" s="96">
        <v>0</v>
      </c>
      <c r="K226" s="95">
        <v>456.24000000000007</v>
      </c>
      <c r="L226" s="95">
        <v>30.72</v>
      </c>
      <c r="M226" s="95">
        <v>0</v>
      </c>
      <c r="N226" s="95">
        <v>0</v>
      </c>
      <c r="O226" s="89"/>
      <c r="P226" s="95">
        <v>0</v>
      </c>
      <c r="Q226" s="89"/>
      <c r="R226" s="95">
        <v>0</v>
      </c>
      <c r="S226" s="95">
        <v>0</v>
      </c>
      <c r="T226" s="95">
        <v>0</v>
      </c>
      <c r="U226" s="95">
        <v>486.96000000000004</v>
      </c>
      <c r="V226" s="95">
        <v>471.6</v>
      </c>
      <c r="W226" s="96">
        <v>0</v>
      </c>
      <c r="X226" s="99">
        <v>3.4000000000000002E-2</v>
      </c>
    </row>
    <row r="227" spans="1:24" x14ac:dyDescent="0.3">
      <c r="A227" s="71">
        <v>34635</v>
      </c>
      <c r="B227" s="88" t="s">
        <v>459</v>
      </c>
      <c r="C227" s="95">
        <v>0</v>
      </c>
      <c r="D227" s="95">
        <v>0</v>
      </c>
      <c r="E227" s="95">
        <v>0</v>
      </c>
      <c r="F227" s="95">
        <v>0</v>
      </c>
      <c r="G227" s="95">
        <v>0</v>
      </c>
      <c r="H227" s="95">
        <v>0</v>
      </c>
      <c r="I227" s="95">
        <v>0</v>
      </c>
      <c r="J227" s="96">
        <v>0</v>
      </c>
      <c r="K227" s="95">
        <v>0</v>
      </c>
      <c r="L227" s="95">
        <v>0</v>
      </c>
      <c r="M227" s="95">
        <v>0</v>
      </c>
      <c r="N227" s="95">
        <v>0</v>
      </c>
      <c r="O227" s="89"/>
      <c r="P227" s="95">
        <v>0</v>
      </c>
      <c r="Q227" s="89"/>
      <c r="R227" s="95">
        <v>0</v>
      </c>
      <c r="S227" s="95">
        <v>0</v>
      </c>
      <c r="T227" s="95">
        <v>0</v>
      </c>
      <c r="U227" s="95">
        <v>0</v>
      </c>
      <c r="V227" s="95">
        <v>0</v>
      </c>
      <c r="W227" s="96">
        <v>0</v>
      </c>
      <c r="X227" s="99">
        <v>3.9E-2</v>
      </c>
    </row>
    <row r="228" spans="1:24" x14ac:dyDescent="0.3">
      <c r="A228" s="71">
        <v>34636</v>
      </c>
      <c r="B228" s="88" t="s">
        <v>460</v>
      </c>
      <c r="C228" s="95">
        <v>11736.48</v>
      </c>
      <c r="D228" s="95">
        <v>0</v>
      </c>
      <c r="E228" s="95">
        <v>0</v>
      </c>
      <c r="F228" s="95">
        <v>0</v>
      </c>
      <c r="G228" s="95">
        <v>0</v>
      </c>
      <c r="H228" s="95">
        <v>11736.48</v>
      </c>
      <c r="I228" s="95">
        <v>11736.48</v>
      </c>
      <c r="J228" s="96">
        <v>0</v>
      </c>
      <c r="K228" s="95">
        <v>5631.480000000005</v>
      </c>
      <c r="L228" s="95">
        <v>258.24</v>
      </c>
      <c r="M228" s="95">
        <v>0</v>
      </c>
      <c r="N228" s="95">
        <v>0</v>
      </c>
      <c r="O228" s="89"/>
      <c r="P228" s="95">
        <v>0</v>
      </c>
      <c r="Q228" s="89"/>
      <c r="R228" s="95">
        <v>0</v>
      </c>
      <c r="S228" s="95">
        <v>0</v>
      </c>
      <c r="T228" s="95">
        <v>0</v>
      </c>
      <c r="U228" s="95">
        <v>5889.7200000000048</v>
      </c>
      <c r="V228" s="95">
        <v>5760.6</v>
      </c>
      <c r="W228" s="96">
        <v>0</v>
      </c>
      <c r="X228" s="99">
        <v>2.1999999999999999E-2</v>
      </c>
    </row>
    <row r="229" spans="1:24" x14ac:dyDescent="0.3">
      <c r="A229" s="71">
        <v>34637</v>
      </c>
      <c r="B229" s="88" t="s">
        <v>461</v>
      </c>
      <c r="C229" s="95">
        <v>284400.03999999992</v>
      </c>
      <c r="D229" s="95">
        <v>0</v>
      </c>
      <c r="E229" s="95">
        <v>-16073.84</v>
      </c>
      <c r="F229" s="95">
        <v>0</v>
      </c>
      <c r="G229" s="95">
        <v>0</v>
      </c>
      <c r="H229" s="95">
        <v>268326.1999999999</v>
      </c>
      <c r="I229" s="95">
        <v>278217.78999999998</v>
      </c>
      <c r="J229" s="96">
        <v>0</v>
      </c>
      <c r="K229" s="95">
        <v>141187.21</v>
      </c>
      <c r="L229" s="95">
        <v>39903</v>
      </c>
      <c r="M229" s="95">
        <v>-16073.84</v>
      </c>
      <c r="N229" s="95">
        <v>0</v>
      </c>
      <c r="O229" s="89"/>
      <c r="P229" s="95">
        <v>0</v>
      </c>
      <c r="Q229" s="89"/>
      <c r="R229" s="95">
        <v>0</v>
      </c>
      <c r="S229" s="95">
        <v>0</v>
      </c>
      <c r="T229" s="95">
        <v>0</v>
      </c>
      <c r="U229" s="95">
        <v>165016.37</v>
      </c>
      <c r="V229" s="95">
        <v>155192.22</v>
      </c>
      <c r="W229" s="96">
        <v>0</v>
      </c>
      <c r="X229" s="99">
        <v>0.14299999999999999</v>
      </c>
    </row>
    <row r="230" spans="1:24" x14ac:dyDescent="0.3">
      <c r="A230" s="71">
        <v>34641</v>
      </c>
      <c r="B230" s="88" t="s">
        <v>462</v>
      </c>
      <c r="C230" s="95">
        <v>0</v>
      </c>
      <c r="D230" s="95">
        <v>0</v>
      </c>
      <c r="E230" s="95">
        <v>0</v>
      </c>
      <c r="F230" s="95">
        <v>0</v>
      </c>
      <c r="G230" s="95">
        <v>0</v>
      </c>
      <c r="H230" s="95">
        <v>0</v>
      </c>
      <c r="I230" s="95">
        <v>0</v>
      </c>
      <c r="J230" s="96">
        <v>0</v>
      </c>
      <c r="K230" s="95">
        <v>0</v>
      </c>
      <c r="L230" s="95">
        <v>0</v>
      </c>
      <c r="M230" s="95">
        <v>0</v>
      </c>
      <c r="N230" s="95">
        <v>0</v>
      </c>
      <c r="O230" s="89"/>
      <c r="P230" s="95">
        <v>0</v>
      </c>
      <c r="Q230" s="89"/>
      <c r="R230" s="95">
        <v>0</v>
      </c>
      <c r="S230" s="95">
        <v>0</v>
      </c>
      <c r="T230" s="95">
        <v>0</v>
      </c>
      <c r="U230" s="95">
        <v>0</v>
      </c>
      <c r="V230" s="95">
        <v>0</v>
      </c>
      <c r="W230" s="96">
        <v>0</v>
      </c>
      <c r="X230" s="99">
        <v>0</v>
      </c>
    </row>
    <row r="231" spans="1:24" x14ac:dyDescent="0.3">
      <c r="A231" s="71">
        <v>34643</v>
      </c>
      <c r="B231" s="88" t="s">
        <v>463</v>
      </c>
      <c r="C231" s="95">
        <v>308525.93</v>
      </c>
      <c r="D231" s="95">
        <v>0</v>
      </c>
      <c r="E231" s="95">
        <v>0</v>
      </c>
      <c r="F231" s="95">
        <v>0</v>
      </c>
      <c r="G231" s="95">
        <v>0</v>
      </c>
      <c r="H231" s="95">
        <v>308525.93</v>
      </c>
      <c r="I231" s="95">
        <v>308525.93</v>
      </c>
      <c r="J231" s="96">
        <v>0</v>
      </c>
      <c r="K231" s="95">
        <v>236285.00000000006</v>
      </c>
      <c r="L231" s="95">
        <v>8947.2000000000007</v>
      </c>
      <c r="M231" s="95">
        <v>0</v>
      </c>
      <c r="N231" s="95">
        <v>0</v>
      </c>
      <c r="O231" s="89"/>
      <c r="P231" s="95">
        <v>0</v>
      </c>
      <c r="Q231" s="89"/>
      <c r="R231" s="95">
        <v>0</v>
      </c>
      <c r="S231" s="95">
        <v>0</v>
      </c>
      <c r="T231" s="95">
        <v>0</v>
      </c>
      <c r="U231" s="95">
        <v>245232.20000000007</v>
      </c>
      <c r="V231" s="95">
        <v>240758.6</v>
      </c>
      <c r="W231" s="96">
        <v>0</v>
      </c>
      <c r="X231" s="99">
        <v>2.9000000000000001E-2</v>
      </c>
    </row>
    <row r="232" spans="1:24" x14ac:dyDescent="0.3">
      <c r="A232" s="71">
        <v>34644</v>
      </c>
      <c r="B232" s="88" t="s">
        <v>464</v>
      </c>
      <c r="C232" s="95">
        <v>510664.71</v>
      </c>
      <c r="D232" s="95">
        <v>0</v>
      </c>
      <c r="E232" s="95">
        <v>0</v>
      </c>
      <c r="F232" s="95">
        <v>0</v>
      </c>
      <c r="G232" s="95">
        <v>0</v>
      </c>
      <c r="H232" s="95">
        <v>510664.71</v>
      </c>
      <c r="I232" s="95">
        <v>510664.71</v>
      </c>
      <c r="J232" s="96">
        <v>0</v>
      </c>
      <c r="K232" s="95">
        <v>238177.22000000015</v>
      </c>
      <c r="L232" s="95">
        <v>14809.32</v>
      </c>
      <c r="M232" s="95">
        <v>0</v>
      </c>
      <c r="N232" s="95">
        <v>0</v>
      </c>
      <c r="O232" s="89"/>
      <c r="P232" s="95">
        <v>0</v>
      </c>
      <c r="Q232" s="89"/>
      <c r="R232" s="95">
        <v>0</v>
      </c>
      <c r="S232" s="95">
        <v>0</v>
      </c>
      <c r="T232" s="95">
        <v>0</v>
      </c>
      <c r="U232" s="95">
        <v>252986.54000000015</v>
      </c>
      <c r="V232" s="95">
        <v>245581.88</v>
      </c>
      <c r="W232" s="96">
        <v>0</v>
      </c>
      <c r="X232" s="99">
        <v>2.9000000000000001E-2</v>
      </c>
    </row>
    <row r="233" spans="1:24" x14ac:dyDescent="0.3">
      <c r="A233" s="71">
        <v>34645</v>
      </c>
      <c r="B233" s="88" t="s">
        <v>465</v>
      </c>
      <c r="C233" s="95">
        <v>0</v>
      </c>
      <c r="D233" s="95">
        <v>0</v>
      </c>
      <c r="E233" s="95">
        <v>0</v>
      </c>
      <c r="F233" s="95">
        <v>0</v>
      </c>
      <c r="G233" s="95">
        <v>0</v>
      </c>
      <c r="H233" s="95">
        <v>0</v>
      </c>
      <c r="I233" s="95">
        <v>0</v>
      </c>
      <c r="J233" s="96">
        <v>0</v>
      </c>
      <c r="K233" s="95">
        <v>0</v>
      </c>
      <c r="L233" s="95">
        <v>0</v>
      </c>
      <c r="M233" s="95">
        <v>0</v>
      </c>
      <c r="N233" s="95">
        <v>0</v>
      </c>
      <c r="O233" s="89"/>
      <c r="P233" s="95">
        <v>0</v>
      </c>
      <c r="Q233" s="89"/>
      <c r="R233" s="95">
        <v>0</v>
      </c>
      <c r="S233" s="95">
        <v>0</v>
      </c>
      <c r="T233" s="95">
        <v>0</v>
      </c>
      <c r="U233" s="95">
        <v>0</v>
      </c>
      <c r="V233" s="95">
        <v>0</v>
      </c>
      <c r="W233" s="96">
        <v>0</v>
      </c>
      <c r="X233" s="99">
        <v>2.9000000000000001E-2</v>
      </c>
    </row>
    <row r="234" spans="1:24" x14ac:dyDescent="0.3">
      <c r="A234" s="71">
        <v>34646</v>
      </c>
      <c r="B234" s="88" t="s">
        <v>466</v>
      </c>
      <c r="C234" s="95">
        <v>0</v>
      </c>
      <c r="D234" s="95">
        <v>0</v>
      </c>
      <c r="E234" s="95">
        <v>0</v>
      </c>
      <c r="F234" s="95">
        <v>0</v>
      </c>
      <c r="G234" s="95">
        <v>0</v>
      </c>
      <c r="H234" s="95">
        <v>0</v>
      </c>
      <c r="I234" s="95">
        <v>0</v>
      </c>
      <c r="J234" s="96">
        <v>0</v>
      </c>
      <c r="K234" s="95">
        <v>0</v>
      </c>
      <c r="L234" s="95">
        <v>0</v>
      </c>
      <c r="M234" s="95">
        <v>0</v>
      </c>
      <c r="N234" s="95">
        <v>0</v>
      </c>
      <c r="O234" s="89"/>
      <c r="P234" s="95">
        <v>0</v>
      </c>
      <c r="Q234" s="89"/>
      <c r="R234" s="95">
        <v>0</v>
      </c>
      <c r="S234" s="95">
        <v>0</v>
      </c>
      <c r="T234" s="95">
        <v>0</v>
      </c>
      <c r="U234" s="95">
        <v>0</v>
      </c>
      <c r="V234" s="95">
        <v>0</v>
      </c>
      <c r="W234" s="96">
        <v>0</v>
      </c>
      <c r="X234" s="99">
        <v>2.9000000000000001E-2</v>
      </c>
    </row>
    <row r="235" spans="1:24" x14ac:dyDescent="0.3">
      <c r="A235" s="71">
        <v>34680</v>
      </c>
      <c r="B235" s="88" t="s">
        <v>467</v>
      </c>
      <c r="C235" s="95">
        <v>1259507.78</v>
      </c>
      <c r="D235" s="95">
        <v>0</v>
      </c>
      <c r="E235" s="95">
        <v>0</v>
      </c>
      <c r="F235" s="95">
        <v>0</v>
      </c>
      <c r="G235" s="95">
        <v>0</v>
      </c>
      <c r="H235" s="95">
        <v>1259507.78</v>
      </c>
      <c r="I235" s="95">
        <v>1259507.78</v>
      </c>
      <c r="J235" s="96">
        <v>0</v>
      </c>
      <c r="K235" s="95">
        <v>-2174.7000000000207</v>
      </c>
      <c r="L235" s="95">
        <v>70532.399999999994</v>
      </c>
      <c r="M235" s="95">
        <v>0</v>
      </c>
      <c r="N235" s="95">
        <v>0</v>
      </c>
      <c r="O235" s="89"/>
      <c r="P235" s="95">
        <v>0</v>
      </c>
      <c r="Q235" s="89"/>
      <c r="R235" s="95">
        <v>0</v>
      </c>
      <c r="S235" s="95">
        <v>0</v>
      </c>
      <c r="T235" s="95">
        <v>0</v>
      </c>
      <c r="U235" s="95">
        <v>68357.699999999968</v>
      </c>
      <c r="V235" s="95">
        <v>33091.5</v>
      </c>
      <c r="W235" s="96">
        <v>0</v>
      </c>
      <c r="X235" s="99">
        <v>5.6000000000000001E-2</v>
      </c>
    </row>
    <row r="236" spans="1:24" x14ac:dyDescent="0.3">
      <c r="A236" s="71">
        <v>34681</v>
      </c>
      <c r="B236" s="88" t="s">
        <v>468</v>
      </c>
      <c r="C236" s="95">
        <v>6717060.589999998</v>
      </c>
      <c r="D236" s="95">
        <v>0</v>
      </c>
      <c r="E236" s="95">
        <v>0</v>
      </c>
      <c r="F236" s="95">
        <v>0</v>
      </c>
      <c r="G236" s="95">
        <v>0</v>
      </c>
      <c r="H236" s="95">
        <v>6717060.589999998</v>
      </c>
      <c r="I236" s="95">
        <v>6717060.5899999999</v>
      </c>
      <c r="J236" s="96">
        <v>0</v>
      </c>
      <c r="K236" s="95">
        <v>2654416.1500000004</v>
      </c>
      <c r="L236" s="95">
        <v>282116.52</v>
      </c>
      <c r="M236" s="95">
        <v>0</v>
      </c>
      <c r="N236" s="95">
        <v>0</v>
      </c>
      <c r="O236" s="89"/>
      <c r="P236" s="95">
        <v>0</v>
      </c>
      <c r="Q236" s="89"/>
      <c r="R236" s="95">
        <v>0</v>
      </c>
      <c r="S236" s="95">
        <v>0</v>
      </c>
      <c r="T236" s="95">
        <v>0</v>
      </c>
      <c r="U236" s="95">
        <v>2936532.6700000004</v>
      </c>
      <c r="V236" s="95">
        <v>2795474.41</v>
      </c>
      <c r="W236" s="96">
        <v>0</v>
      </c>
      <c r="X236" s="99">
        <v>4.2000000000000003E-2</v>
      </c>
    </row>
    <row r="237" spans="1:24" x14ac:dyDescent="0.3">
      <c r="A237" s="71">
        <v>34682</v>
      </c>
      <c r="B237" s="88" t="s">
        <v>469</v>
      </c>
      <c r="C237" s="95">
        <v>173209.90999999997</v>
      </c>
      <c r="D237" s="95">
        <v>0</v>
      </c>
      <c r="E237" s="95">
        <v>0</v>
      </c>
      <c r="F237" s="95">
        <v>0</v>
      </c>
      <c r="G237" s="95">
        <v>0</v>
      </c>
      <c r="H237" s="95">
        <v>173209.90999999997</v>
      </c>
      <c r="I237" s="95">
        <v>173209.91</v>
      </c>
      <c r="J237" s="96">
        <v>0</v>
      </c>
      <c r="K237" s="95">
        <v>136952.71000000011</v>
      </c>
      <c r="L237" s="95">
        <v>2944.56</v>
      </c>
      <c r="M237" s="95">
        <v>0</v>
      </c>
      <c r="N237" s="95">
        <v>0</v>
      </c>
      <c r="O237" s="89"/>
      <c r="P237" s="95">
        <v>0</v>
      </c>
      <c r="Q237" s="89"/>
      <c r="R237" s="95">
        <v>0</v>
      </c>
      <c r="S237" s="95">
        <v>0</v>
      </c>
      <c r="T237" s="95">
        <v>0</v>
      </c>
      <c r="U237" s="95">
        <v>139897.27000000011</v>
      </c>
      <c r="V237" s="95">
        <v>138424.99</v>
      </c>
      <c r="W237" s="96">
        <v>0</v>
      </c>
      <c r="X237" s="99">
        <v>1.7000000000000001E-2</v>
      </c>
    </row>
    <row r="238" spans="1:24" x14ac:dyDescent="0.3">
      <c r="A238" s="71">
        <v>34683</v>
      </c>
      <c r="B238" s="88" t="s">
        <v>470</v>
      </c>
      <c r="C238" s="95">
        <v>432910.42</v>
      </c>
      <c r="D238" s="95">
        <v>0</v>
      </c>
      <c r="E238" s="95">
        <v>0</v>
      </c>
      <c r="F238" s="95">
        <v>0</v>
      </c>
      <c r="G238" s="95">
        <v>0</v>
      </c>
      <c r="H238" s="95">
        <v>432910.42</v>
      </c>
      <c r="I238" s="95">
        <v>432910.42</v>
      </c>
      <c r="J238" s="96">
        <v>0</v>
      </c>
      <c r="K238" s="95">
        <v>274172.59999999986</v>
      </c>
      <c r="L238" s="95">
        <v>9524.0400000000009</v>
      </c>
      <c r="M238" s="95">
        <v>0</v>
      </c>
      <c r="N238" s="95">
        <v>0</v>
      </c>
      <c r="O238" s="89"/>
      <c r="P238" s="95">
        <v>0</v>
      </c>
      <c r="Q238" s="89"/>
      <c r="R238" s="95">
        <v>0</v>
      </c>
      <c r="S238" s="95">
        <v>0</v>
      </c>
      <c r="T238" s="95">
        <v>0</v>
      </c>
      <c r="U238" s="95">
        <v>283696.63999999984</v>
      </c>
      <c r="V238" s="95">
        <v>278934.62</v>
      </c>
      <c r="W238" s="96">
        <v>0</v>
      </c>
      <c r="X238" s="99">
        <v>2.1999999999999999E-2</v>
      </c>
    </row>
    <row r="239" spans="1:24" x14ac:dyDescent="0.3">
      <c r="A239" s="71">
        <v>34684</v>
      </c>
      <c r="B239" s="88" t="s">
        <v>471</v>
      </c>
      <c r="C239" s="95">
        <v>0</v>
      </c>
      <c r="D239" s="95">
        <v>0</v>
      </c>
      <c r="E239" s="95">
        <v>0</v>
      </c>
      <c r="F239" s="95">
        <v>0</v>
      </c>
      <c r="G239" s="95">
        <v>0</v>
      </c>
      <c r="H239" s="95">
        <v>0</v>
      </c>
      <c r="I239" s="95">
        <v>0</v>
      </c>
      <c r="J239" s="96">
        <v>0</v>
      </c>
      <c r="K239" s="95">
        <v>0</v>
      </c>
      <c r="L239" s="95">
        <v>0</v>
      </c>
      <c r="M239" s="95">
        <v>0</v>
      </c>
      <c r="N239" s="95">
        <v>0</v>
      </c>
      <c r="O239" s="89"/>
      <c r="P239" s="95">
        <v>0</v>
      </c>
      <c r="Q239" s="89"/>
      <c r="R239" s="95">
        <v>0</v>
      </c>
      <c r="S239" s="95">
        <v>0</v>
      </c>
      <c r="T239" s="95">
        <v>0</v>
      </c>
      <c r="U239" s="95">
        <v>0</v>
      </c>
      <c r="V239" s="95">
        <v>0</v>
      </c>
      <c r="W239" s="96">
        <v>0</v>
      </c>
      <c r="X239" s="99">
        <v>3.5999999999999997E-2</v>
      </c>
    </row>
    <row r="240" spans="1:24" x14ac:dyDescent="0.3">
      <c r="A240" s="71">
        <v>34685</v>
      </c>
      <c r="B240" s="88" t="s">
        <v>472</v>
      </c>
      <c r="C240" s="95">
        <v>0</v>
      </c>
      <c r="D240" s="95">
        <v>0</v>
      </c>
      <c r="E240" s="95">
        <v>0</v>
      </c>
      <c r="F240" s="95">
        <v>0</v>
      </c>
      <c r="G240" s="95">
        <v>0</v>
      </c>
      <c r="H240" s="95">
        <v>0</v>
      </c>
      <c r="I240" s="95">
        <v>0</v>
      </c>
      <c r="J240" s="96">
        <v>0</v>
      </c>
      <c r="K240" s="95">
        <v>0</v>
      </c>
      <c r="L240" s="95">
        <v>0</v>
      </c>
      <c r="M240" s="95">
        <v>0</v>
      </c>
      <c r="N240" s="95">
        <v>0</v>
      </c>
      <c r="O240" s="89"/>
      <c r="P240" s="95">
        <v>0</v>
      </c>
      <c r="Q240" s="89"/>
      <c r="R240" s="95">
        <v>0</v>
      </c>
      <c r="S240" s="95">
        <v>0</v>
      </c>
      <c r="T240" s="95">
        <v>0</v>
      </c>
      <c r="U240" s="95">
        <v>0</v>
      </c>
      <c r="V240" s="95">
        <v>0</v>
      </c>
      <c r="W240" s="96">
        <v>0</v>
      </c>
      <c r="X240" s="99">
        <v>3.5999999999999997E-2</v>
      </c>
    </row>
    <row r="241" spans="1:24" x14ac:dyDescent="0.3">
      <c r="A241" s="71">
        <v>34686</v>
      </c>
      <c r="B241" s="88" t="s">
        <v>473</v>
      </c>
      <c r="C241" s="95">
        <v>141626.41</v>
      </c>
      <c r="D241" s="95">
        <v>0</v>
      </c>
      <c r="E241" s="95">
        <v>0</v>
      </c>
      <c r="F241" s="95">
        <v>0</v>
      </c>
      <c r="G241" s="95">
        <v>0</v>
      </c>
      <c r="H241" s="95">
        <v>141626.41</v>
      </c>
      <c r="I241" s="95">
        <v>141626.41</v>
      </c>
      <c r="J241" s="96">
        <v>0</v>
      </c>
      <c r="K241" s="95">
        <v>26637.22000000003</v>
      </c>
      <c r="L241" s="95">
        <v>4248.84</v>
      </c>
      <c r="M241" s="95">
        <v>0</v>
      </c>
      <c r="N241" s="95">
        <v>0</v>
      </c>
      <c r="O241" s="89"/>
      <c r="P241" s="95">
        <v>0</v>
      </c>
      <c r="Q241" s="89"/>
      <c r="R241" s="95">
        <v>0</v>
      </c>
      <c r="S241" s="95">
        <v>0</v>
      </c>
      <c r="T241" s="95">
        <v>0</v>
      </c>
      <c r="U241" s="95">
        <v>30886.06000000003</v>
      </c>
      <c r="V241" s="95">
        <v>28761.64</v>
      </c>
      <c r="W241" s="96">
        <v>0</v>
      </c>
      <c r="X241" s="99">
        <v>0.03</v>
      </c>
    </row>
    <row r="242" spans="1:24" x14ac:dyDescent="0.3">
      <c r="A242" s="71">
        <v>34687</v>
      </c>
      <c r="B242" s="88" t="s">
        <v>474</v>
      </c>
      <c r="C242" s="95">
        <v>2111959.9400000004</v>
      </c>
      <c r="D242" s="95">
        <v>0</v>
      </c>
      <c r="E242" s="95">
        <v>0</v>
      </c>
      <c r="F242" s="95">
        <v>0</v>
      </c>
      <c r="G242" s="95">
        <v>0</v>
      </c>
      <c r="H242" s="95">
        <v>2111959.9400000004</v>
      </c>
      <c r="I242" s="95">
        <v>2111959.94</v>
      </c>
      <c r="J242" s="96">
        <v>0</v>
      </c>
      <c r="K242" s="95">
        <v>784882.2300000001</v>
      </c>
      <c r="L242" s="95">
        <v>302010.23999999999</v>
      </c>
      <c r="M242" s="95">
        <v>0</v>
      </c>
      <c r="N242" s="95">
        <v>0</v>
      </c>
      <c r="O242" s="89"/>
      <c r="P242" s="95">
        <v>0</v>
      </c>
      <c r="Q242" s="89"/>
      <c r="R242" s="95">
        <v>0</v>
      </c>
      <c r="S242" s="95">
        <v>0</v>
      </c>
      <c r="T242" s="95">
        <v>0</v>
      </c>
      <c r="U242" s="95">
        <v>1086892.4700000002</v>
      </c>
      <c r="V242" s="95">
        <v>935887.35</v>
      </c>
      <c r="W242" s="96">
        <v>0</v>
      </c>
      <c r="X242" s="99">
        <v>0.14299999999999999</v>
      </c>
    </row>
    <row r="243" spans="1:24" x14ac:dyDescent="0.3">
      <c r="A243" s="71">
        <v>34700</v>
      </c>
      <c r="B243" s="88" t="s">
        <v>475</v>
      </c>
      <c r="C243" s="95">
        <v>12376233.219999999</v>
      </c>
      <c r="D243" s="95">
        <v>0</v>
      </c>
      <c r="E243" s="95">
        <v>0</v>
      </c>
      <c r="F243" s="95">
        <v>0</v>
      </c>
      <c r="G243" s="95">
        <v>0</v>
      </c>
      <c r="H243" s="95">
        <v>12376233.219999999</v>
      </c>
      <c r="I243" s="95">
        <v>12376233.220000001</v>
      </c>
      <c r="J243" s="96">
        <v>0</v>
      </c>
      <c r="K243" s="95">
        <v>1559990.199999999</v>
      </c>
      <c r="L243" s="95">
        <v>420791.88</v>
      </c>
      <c r="M243" s="95">
        <v>0</v>
      </c>
      <c r="N243" s="95">
        <v>0</v>
      </c>
      <c r="O243" s="89"/>
      <c r="P243" s="95">
        <v>0</v>
      </c>
      <c r="Q243" s="89"/>
      <c r="R243" s="95">
        <v>0</v>
      </c>
      <c r="S243" s="95">
        <v>0</v>
      </c>
      <c r="T243" s="95">
        <v>0</v>
      </c>
      <c r="U243" s="95">
        <v>1980782.0799999991</v>
      </c>
      <c r="V243" s="95">
        <v>1770386.14</v>
      </c>
      <c r="W243" s="96">
        <v>0</v>
      </c>
      <c r="X243" s="99">
        <v>3.4000000000000002E-2</v>
      </c>
    </row>
    <row r="244" spans="1:24" x14ac:dyDescent="0.3">
      <c r="A244" s="71">
        <v>34300</v>
      </c>
      <c r="B244" s="88" t="s">
        <v>476</v>
      </c>
      <c r="C244" s="95">
        <v>0</v>
      </c>
      <c r="D244" s="95">
        <v>0</v>
      </c>
      <c r="E244" s="95">
        <v>0</v>
      </c>
      <c r="F244" s="95">
        <v>0</v>
      </c>
      <c r="G244" s="95">
        <v>0</v>
      </c>
      <c r="H244" s="95">
        <v>0</v>
      </c>
      <c r="I244" s="95">
        <v>0</v>
      </c>
      <c r="J244" s="96">
        <v>0</v>
      </c>
      <c r="K244" s="95">
        <v>0</v>
      </c>
      <c r="L244" s="95">
        <v>0</v>
      </c>
      <c r="M244" s="95">
        <v>0</v>
      </c>
      <c r="N244" s="95">
        <v>0</v>
      </c>
      <c r="O244" s="89"/>
      <c r="P244" s="95">
        <v>0</v>
      </c>
      <c r="Q244" s="89"/>
      <c r="R244" s="95">
        <v>0</v>
      </c>
      <c r="S244" s="95">
        <v>0</v>
      </c>
      <c r="T244" s="95">
        <v>0</v>
      </c>
      <c r="U244" s="95">
        <v>0</v>
      </c>
      <c r="V244" s="95">
        <v>0</v>
      </c>
      <c r="W244" s="96">
        <v>0</v>
      </c>
      <c r="X244" s="99">
        <v>3.3000000000000002E-2</v>
      </c>
    </row>
    <row r="245" spans="1:24" x14ac:dyDescent="0.3">
      <c r="A245" s="71">
        <v>34800</v>
      </c>
      <c r="B245" s="88" t="s">
        <v>477</v>
      </c>
      <c r="C245" s="95">
        <v>0</v>
      </c>
      <c r="D245" s="95">
        <v>0</v>
      </c>
      <c r="E245" s="95">
        <v>0</v>
      </c>
      <c r="F245" s="95">
        <v>0</v>
      </c>
      <c r="G245" s="95">
        <v>0</v>
      </c>
      <c r="H245" s="95">
        <v>0</v>
      </c>
      <c r="I245" s="95">
        <v>0</v>
      </c>
      <c r="J245" s="96">
        <v>0</v>
      </c>
      <c r="K245" s="95">
        <v>0</v>
      </c>
      <c r="L245" s="95">
        <v>0</v>
      </c>
      <c r="M245" s="95">
        <v>0</v>
      </c>
      <c r="N245" s="95">
        <v>0</v>
      </c>
      <c r="O245" s="89"/>
      <c r="P245" s="95">
        <v>0</v>
      </c>
      <c r="Q245" s="89"/>
      <c r="R245" s="95">
        <v>0</v>
      </c>
      <c r="S245" s="95">
        <v>0</v>
      </c>
      <c r="T245" s="95">
        <v>0</v>
      </c>
      <c r="U245" s="95">
        <v>0</v>
      </c>
      <c r="V245" s="95">
        <v>0</v>
      </c>
      <c r="W245" s="96">
        <v>0</v>
      </c>
      <c r="X245" s="99">
        <v>0.1</v>
      </c>
    </row>
    <row r="246" spans="1:24" x14ac:dyDescent="0.3">
      <c r="A246" s="71">
        <v>34820</v>
      </c>
      <c r="B246" s="88" t="s">
        <v>478</v>
      </c>
      <c r="C246" s="95">
        <v>0</v>
      </c>
      <c r="D246" s="95">
        <v>0</v>
      </c>
      <c r="E246" s="95">
        <v>0</v>
      </c>
      <c r="F246" s="95">
        <v>0</v>
      </c>
      <c r="G246" s="95">
        <v>0</v>
      </c>
      <c r="H246" s="95">
        <v>0</v>
      </c>
      <c r="I246" s="95">
        <v>0</v>
      </c>
      <c r="J246" s="96">
        <v>0</v>
      </c>
      <c r="K246" s="95">
        <v>0</v>
      </c>
      <c r="L246" s="95">
        <v>0</v>
      </c>
      <c r="M246" s="95">
        <v>0</v>
      </c>
      <c r="N246" s="95">
        <v>0</v>
      </c>
      <c r="O246" s="89"/>
      <c r="P246" s="95">
        <v>0</v>
      </c>
      <c r="Q246" s="89"/>
      <c r="R246" s="95">
        <v>0</v>
      </c>
      <c r="S246" s="95">
        <v>0</v>
      </c>
      <c r="T246" s="95">
        <v>0</v>
      </c>
      <c r="U246" s="95">
        <v>0</v>
      </c>
      <c r="V246" s="95">
        <v>0</v>
      </c>
      <c r="W246" s="96">
        <v>0</v>
      </c>
      <c r="X246" s="99">
        <v>0</v>
      </c>
    </row>
    <row r="247" spans="1:24" x14ac:dyDescent="0.3">
      <c r="A247" s="71">
        <v>34898</v>
      </c>
      <c r="B247" s="88" t="s">
        <v>479</v>
      </c>
      <c r="C247" s="95">
        <v>9237.029999999997</v>
      </c>
      <c r="D247" s="95">
        <v>0</v>
      </c>
      <c r="E247" s="95">
        <v>0</v>
      </c>
      <c r="F247" s="95">
        <v>0</v>
      </c>
      <c r="G247" s="95">
        <v>0</v>
      </c>
      <c r="H247" s="95">
        <v>9237.029999999997</v>
      </c>
      <c r="I247" s="95">
        <v>9237.0300000000007</v>
      </c>
      <c r="J247" s="96">
        <v>0</v>
      </c>
      <c r="K247" s="95">
        <v>865.10999999999979</v>
      </c>
      <c r="L247" s="95">
        <v>923.76</v>
      </c>
      <c r="M247" s="95">
        <v>0</v>
      </c>
      <c r="N247" s="95">
        <v>0</v>
      </c>
      <c r="O247" s="89"/>
      <c r="P247" s="95">
        <v>0</v>
      </c>
      <c r="Q247" s="89"/>
      <c r="R247" s="95">
        <v>0</v>
      </c>
      <c r="S247" s="95">
        <v>0</v>
      </c>
      <c r="T247" s="95">
        <v>0</v>
      </c>
      <c r="U247" s="95">
        <v>1788.87</v>
      </c>
      <c r="V247" s="95">
        <v>1326.99</v>
      </c>
      <c r="W247" s="96">
        <v>0</v>
      </c>
      <c r="X247" s="99">
        <v>0.1</v>
      </c>
    </row>
    <row r="248" spans="1:24" x14ac:dyDescent="0.3">
      <c r="A248" s="71">
        <v>34899</v>
      </c>
      <c r="B248" s="88" t="s">
        <v>480</v>
      </c>
      <c r="C248" s="95">
        <v>8946382.709999999</v>
      </c>
      <c r="D248" s="95">
        <v>19063454.460000001</v>
      </c>
      <c r="E248" s="95">
        <v>0</v>
      </c>
      <c r="F248" s="95">
        <v>0</v>
      </c>
      <c r="G248" s="95">
        <v>0</v>
      </c>
      <c r="H248" s="95">
        <v>28009837.170000002</v>
      </c>
      <c r="I248" s="95">
        <v>14658305.460000001</v>
      </c>
      <c r="J248" s="96">
        <v>0</v>
      </c>
      <c r="K248" s="95">
        <v>2972235.8199999984</v>
      </c>
      <c r="L248" s="95">
        <v>1354567.79</v>
      </c>
      <c r="M248" s="95">
        <v>0</v>
      </c>
      <c r="N248" s="95">
        <v>0</v>
      </c>
      <c r="O248" s="89"/>
      <c r="P248" s="95">
        <v>0</v>
      </c>
      <c r="Q248" s="89"/>
      <c r="R248" s="95">
        <v>0</v>
      </c>
      <c r="S248" s="95">
        <v>0</v>
      </c>
      <c r="T248" s="95">
        <v>0</v>
      </c>
      <c r="U248" s="95">
        <v>4326803.6099999985</v>
      </c>
      <c r="V248" s="95">
        <v>3489662.36</v>
      </c>
      <c r="W248" s="96">
        <v>0</v>
      </c>
      <c r="X248" s="99">
        <v>0.1</v>
      </c>
    </row>
    <row r="249" spans="1:24" x14ac:dyDescent="0.3">
      <c r="A249" s="71">
        <v>35000</v>
      </c>
      <c r="B249" s="88" t="s">
        <v>481</v>
      </c>
      <c r="C249" s="95">
        <v>17799998.559999999</v>
      </c>
      <c r="D249" s="95">
        <v>0</v>
      </c>
      <c r="E249" s="95">
        <v>0</v>
      </c>
      <c r="F249" s="95">
        <v>0</v>
      </c>
      <c r="G249" s="95">
        <v>0</v>
      </c>
      <c r="H249" s="95">
        <v>17799998.559999999</v>
      </c>
      <c r="I249" s="95">
        <v>17799998.559999999</v>
      </c>
      <c r="J249" s="96">
        <v>0</v>
      </c>
      <c r="K249" s="95">
        <v>0</v>
      </c>
      <c r="L249" s="95">
        <v>0</v>
      </c>
      <c r="M249" s="95">
        <v>0</v>
      </c>
      <c r="N249" s="95">
        <v>0</v>
      </c>
      <c r="O249" s="89"/>
      <c r="P249" s="95">
        <v>0</v>
      </c>
      <c r="Q249" s="89"/>
      <c r="R249" s="95">
        <v>0</v>
      </c>
      <c r="S249" s="95">
        <v>0</v>
      </c>
      <c r="T249" s="95">
        <v>0</v>
      </c>
      <c r="U249" s="95">
        <v>0</v>
      </c>
      <c r="V249" s="95">
        <v>0</v>
      </c>
      <c r="W249" s="96">
        <v>0</v>
      </c>
      <c r="X249" s="99">
        <v>0</v>
      </c>
    </row>
    <row r="250" spans="1:24" x14ac:dyDescent="0.3">
      <c r="A250" s="71">
        <v>35001</v>
      </c>
      <c r="B250" s="88" t="s">
        <v>482</v>
      </c>
      <c r="C250" s="95">
        <v>12162254.090000002</v>
      </c>
      <c r="D250" s="95">
        <v>0</v>
      </c>
      <c r="E250" s="95">
        <v>0</v>
      </c>
      <c r="F250" s="95">
        <v>0</v>
      </c>
      <c r="G250" s="95">
        <v>0</v>
      </c>
      <c r="H250" s="95">
        <v>12162254.090000002</v>
      </c>
      <c r="I250" s="95">
        <v>12162254.09</v>
      </c>
      <c r="J250" s="96">
        <v>0</v>
      </c>
      <c r="K250" s="95">
        <v>4930796.6700000055</v>
      </c>
      <c r="L250" s="95">
        <v>158109.35999999999</v>
      </c>
      <c r="M250" s="95">
        <v>0</v>
      </c>
      <c r="N250" s="95">
        <v>0</v>
      </c>
      <c r="O250" s="89"/>
      <c r="P250" s="95">
        <v>0</v>
      </c>
      <c r="Q250" s="89"/>
      <c r="R250" s="95">
        <v>0</v>
      </c>
      <c r="S250" s="95">
        <v>0</v>
      </c>
      <c r="T250" s="95">
        <v>0</v>
      </c>
      <c r="U250" s="95">
        <v>5088906.0300000058</v>
      </c>
      <c r="V250" s="95">
        <v>5009851.3499999996</v>
      </c>
      <c r="W250" s="96">
        <v>0</v>
      </c>
      <c r="X250" s="99">
        <v>1.2999999999999999E-2</v>
      </c>
    </row>
    <row r="251" spans="1:24" x14ac:dyDescent="0.3">
      <c r="A251" s="71">
        <v>35100</v>
      </c>
      <c r="B251" s="88" t="s">
        <v>483</v>
      </c>
      <c r="C251" s="95">
        <v>0</v>
      </c>
      <c r="D251" s="95">
        <v>0</v>
      </c>
      <c r="E251" s="95">
        <v>0</v>
      </c>
      <c r="F251" s="95">
        <v>0</v>
      </c>
      <c r="G251" s="95">
        <v>0</v>
      </c>
      <c r="H251" s="95">
        <v>0</v>
      </c>
      <c r="I251" s="95">
        <v>0</v>
      </c>
      <c r="J251" s="96">
        <v>0</v>
      </c>
      <c r="K251" s="95">
        <v>0</v>
      </c>
      <c r="L251" s="95">
        <v>0</v>
      </c>
      <c r="M251" s="95">
        <v>0</v>
      </c>
      <c r="N251" s="95">
        <v>0</v>
      </c>
      <c r="O251" s="89"/>
      <c r="P251" s="95">
        <v>0</v>
      </c>
      <c r="Q251" s="89"/>
      <c r="R251" s="95">
        <v>0</v>
      </c>
      <c r="S251" s="95">
        <v>0</v>
      </c>
      <c r="T251" s="95">
        <v>0</v>
      </c>
      <c r="U251" s="95">
        <v>0</v>
      </c>
      <c r="V251" s="95">
        <v>0</v>
      </c>
      <c r="W251" s="96">
        <v>0</v>
      </c>
      <c r="X251" s="99">
        <v>0.1</v>
      </c>
    </row>
    <row r="252" spans="1:24" x14ac:dyDescent="0.3">
      <c r="A252" s="71">
        <v>35200</v>
      </c>
      <c r="B252" s="88" t="s">
        <v>484</v>
      </c>
      <c r="C252" s="95">
        <v>74793268.689999998</v>
      </c>
      <c r="D252" s="95">
        <v>1484111.03</v>
      </c>
      <c r="E252" s="95">
        <v>0</v>
      </c>
      <c r="F252" s="95">
        <v>0</v>
      </c>
      <c r="G252" s="95">
        <v>0</v>
      </c>
      <c r="H252" s="95">
        <v>76277379.719999999</v>
      </c>
      <c r="I252" s="95">
        <v>75478243.010000005</v>
      </c>
      <c r="J252" s="96">
        <v>0</v>
      </c>
      <c r="K252" s="95">
        <v>14788660.42</v>
      </c>
      <c r="L252" s="95">
        <v>1357409.65</v>
      </c>
      <c r="M252" s="95">
        <v>0</v>
      </c>
      <c r="N252" s="95">
        <v>0</v>
      </c>
      <c r="O252" s="89"/>
      <c r="P252" s="95">
        <v>0</v>
      </c>
      <c r="Q252" s="89"/>
      <c r="R252" s="95">
        <v>0</v>
      </c>
      <c r="S252" s="95">
        <v>0</v>
      </c>
      <c r="T252" s="95">
        <v>0</v>
      </c>
      <c r="U252" s="95">
        <v>16146070.07</v>
      </c>
      <c r="V252" s="95">
        <v>15464368.48</v>
      </c>
      <c r="W252" s="96">
        <v>0</v>
      </c>
      <c r="X252" s="99">
        <v>1.7999999999999999E-2</v>
      </c>
    </row>
    <row r="253" spans="1:24" x14ac:dyDescent="0.3">
      <c r="A253" s="71">
        <v>35300</v>
      </c>
      <c r="B253" s="88" t="s">
        <v>485</v>
      </c>
      <c r="C253" s="95">
        <v>435845560.96000034</v>
      </c>
      <c r="D253" s="95">
        <v>15806836.08</v>
      </c>
      <c r="E253" s="95">
        <v>-2371025.39</v>
      </c>
      <c r="F253" s="95">
        <v>0</v>
      </c>
      <c r="G253" s="95">
        <v>0</v>
      </c>
      <c r="H253" s="95">
        <v>449281371.65000033</v>
      </c>
      <c r="I253" s="95">
        <v>443615502.44999999</v>
      </c>
      <c r="J253" s="96">
        <v>-3.600001335144043E-3</v>
      </c>
      <c r="K253" s="95">
        <v>87883630.920000032</v>
      </c>
      <c r="L253" s="95">
        <v>10635440.310000001</v>
      </c>
      <c r="M253" s="95">
        <v>-2371025.39</v>
      </c>
      <c r="N253" s="95">
        <v>-330575.09000000003</v>
      </c>
      <c r="O253" s="89"/>
      <c r="P253" s="95">
        <v>0</v>
      </c>
      <c r="Q253" s="89"/>
      <c r="R253" s="95">
        <v>0</v>
      </c>
      <c r="S253" s="95">
        <v>0</v>
      </c>
      <c r="T253" s="95">
        <v>0</v>
      </c>
      <c r="U253" s="95">
        <v>95817470.75000003</v>
      </c>
      <c r="V253" s="95">
        <v>91593640.840000004</v>
      </c>
      <c r="W253" s="96">
        <v>-1.3000220060348511E-3</v>
      </c>
      <c r="X253" s="99">
        <v>2.4E-2</v>
      </c>
    </row>
    <row r="254" spans="1:24" x14ac:dyDescent="0.3">
      <c r="A254" s="71">
        <v>35400</v>
      </c>
      <c r="B254" s="88" t="s">
        <v>486</v>
      </c>
      <c r="C254" s="95">
        <v>5092060.55</v>
      </c>
      <c r="D254" s="95">
        <v>0</v>
      </c>
      <c r="E254" s="95">
        <v>0</v>
      </c>
      <c r="F254" s="95">
        <v>0</v>
      </c>
      <c r="G254" s="95">
        <v>0</v>
      </c>
      <c r="H254" s="95">
        <v>5092060.55</v>
      </c>
      <c r="I254" s="95">
        <v>5092060.55</v>
      </c>
      <c r="J254" s="96">
        <v>0</v>
      </c>
      <c r="K254" s="95">
        <v>5138692.6499999939</v>
      </c>
      <c r="L254" s="95">
        <v>142577.64000000001</v>
      </c>
      <c r="M254" s="95">
        <v>0</v>
      </c>
      <c r="N254" s="95">
        <v>0</v>
      </c>
      <c r="O254" s="89"/>
      <c r="P254" s="95">
        <v>0</v>
      </c>
      <c r="Q254" s="89"/>
      <c r="R254" s="95">
        <v>0</v>
      </c>
      <c r="S254" s="95">
        <v>0</v>
      </c>
      <c r="T254" s="95">
        <v>0</v>
      </c>
      <c r="U254" s="95">
        <v>5281270.2899999935</v>
      </c>
      <c r="V254" s="95">
        <v>5209981.47</v>
      </c>
      <c r="W254" s="96">
        <v>0</v>
      </c>
      <c r="X254" s="99">
        <v>2.8000000000000001E-2</v>
      </c>
    </row>
    <row r="255" spans="1:24" x14ac:dyDescent="0.3">
      <c r="A255" s="71">
        <v>35500</v>
      </c>
      <c r="B255" s="88" t="s">
        <v>487</v>
      </c>
      <c r="C255" s="95">
        <v>418715163.97999996</v>
      </c>
      <c r="D255" s="95">
        <v>88695664.329999998</v>
      </c>
      <c r="E255" s="95">
        <v>-5321739.87</v>
      </c>
      <c r="F255" s="95">
        <v>0</v>
      </c>
      <c r="G255" s="95">
        <v>0</v>
      </c>
      <c r="H255" s="95">
        <v>502089088.43999994</v>
      </c>
      <c r="I255" s="95">
        <v>459502477.14999998</v>
      </c>
      <c r="J255" s="96">
        <v>-7.9995393753051758E-4</v>
      </c>
      <c r="K255" s="95">
        <v>135044228.15000001</v>
      </c>
      <c r="L255" s="95">
        <v>12766700.6</v>
      </c>
      <c r="M255" s="95">
        <v>-5321739.87</v>
      </c>
      <c r="N255" s="95">
        <v>-3082681.57</v>
      </c>
      <c r="O255" s="89"/>
      <c r="P255" s="95">
        <v>0</v>
      </c>
      <c r="Q255" s="89"/>
      <c r="R255" s="95">
        <v>0</v>
      </c>
      <c r="S255" s="95">
        <v>0</v>
      </c>
      <c r="T255" s="95">
        <v>0</v>
      </c>
      <c r="U255" s="95">
        <v>139406507.31</v>
      </c>
      <c r="V255" s="95">
        <v>136969385.09999999</v>
      </c>
      <c r="W255" s="96">
        <v>3.6000907421112061E-3</v>
      </c>
      <c r="X255" s="99">
        <v>2.8000000000000001E-2</v>
      </c>
    </row>
    <row r="256" spans="1:24" x14ac:dyDescent="0.3">
      <c r="A256" s="71">
        <v>35600</v>
      </c>
      <c r="B256" s="88" t="s">
        <v>488</v>
      </c>
      <c r="C256" s="95">
        <v>179035343.15999997</v>
      </c>
      <c r="D256" s="95">
        <v>9545104.9399999995</v>
      </c>
      <c r="E256" s="95">
        <v>-2386276.2200000002</v>
      </c>
      <c r="F256" s="95">
        <v>0</v>
      </c>
      <c r="G256" s="95">
        <v>0</v>
      </c>
      <c r="H256" s="95">
        <v>186194171.87999997</v>
      </c>
      <c r="I256" s="95">
        <v>183169979.02000001</v>
      </c>
      <c r="J256" s="96">
        <v>1.1999905109405518E-3</v>
      </c>
      <c r="K256" s="95">
        <v>28954758.100000013</v>
      </c>
      <c r="L256" s="95">
        <v>5304620.9400000004</v>
      </c>
      <c r="M256" s="95">
        <v>-2386276.2200000002</v>
      </c>
      <c r="N256" s="95">
        <v>-195896.35</v>
      </c>
      <c r="O256" s="89"/>
      <c r="P256" s="95">
        <v>0</v>
      </c>
      <c r="Q256" s="89"/>
      <c r="R256" s="95">
        <v>0</v>
      </c>
      <c r="S256" s="95">
        <v>0</v>
      </c>
      <c r="T256" s="95">
        <v>0</v>
      </c>
      <c r="U256" s="95">
        <v>31677206.470000014</v>
      </c>
      <c r="V256" s="95">
        <v>30087474.079999998</v>
      </c>
      <c r="W256" s="96">
        <v>-3.999955952167511E-4</v>
      </c>
      <c r="X256" s="99">
        <v>2.9000000000000001E-2</v>
      </c>
    </row>
    <row r="257" spans="1:24" x14ac:dyDescent="0.3">
      <c r="A257" s="71">
        <v>35601</v>
      </c>
      <c r="B257" s="88" t="s">
        <v>489</v>
      </c>
      <c r="C257" s="95">
        <v>2110610.13</v>
      </c>
      <c r="D257" s="95">
        <v>0</v>
      </c>
      <c r="E257" s="95">
        <v>0</v>
      </c>
      <c r="F257" s="95">
        <v>0</v>
      </c>
      <c r="G257" s="95">
        <v>0</v>
      </c>
      <c r="H257" s="95">
        <v>2110610.13</v>
      </c>
      <c r="I257" s="95">
        <v>2110610.13</v>
      </c>
      <c r="J257" s="96">
        <v>0</v>
      </c>
      <c r="K257" s="95">
        <v>1763363.2899999977</v>
      </c>
      <c r="L257" s="95">
        <v>33769.800000000003</v>
      </c>
      <c r="M257" s="95">
        <v>0</v>
      </c>
      <c r="N257" s="95">
        <v>0</v>
      </c>
      <c r="O257" s="89"/>
      <c r="P257" s="95">
        <v>0</v>
      </c>
      <c r="Q257" s="89"/>
      <c r="R257" s="95">
        <v>0</v>
      </c>
      <c r="S257" s="95">
        <v>0</v>
      </c>
      <c r="T257" s="95">
        <v>0</v>
      </c>
      <c r="U257" s="95">
        <v>1797133.0899999978</v>
      </c>
      <c r="V257" s="95">
        <v>1780248.19</v>
      </c>
      <c r="W257" s="96">
        <v>0</v>
      </c>
      <c r="X257" s="99">
        <v>1.6E-2</v>
      </c>
    </row>
    <row r="258" spans="1:24" x14ac:dyDescent="0.3">
      <c r="A258" s="71">
        <v>35700</v>
      </c>
      <c r="B258" s="88" t="s">
        <v>490</v>
      </c>
      <c r="C258" s="95">
        <v>4322860.5300000012</v>
      </c>
      <c r="D258" s="95">
        <v>0</v>
      </c>
      <c r="E258" s="95">
        <v>0</v>
      </c>
      <c r="F258" s="95">
        <v>0</v>
      </c>
      <c r="G258" s="95">
        <v>0</v>
      </c>
      <c r="H258" s="95">
        <v>4322860.5300000012</v>
      </c>
      <c r="I258" s="95">
        <v>4322860.53</v>
      </c>
      <c r="J258" s="96">
        <v>0</v>
      </c>
      <c r="K258" s="95">
        <v>1773124.8600000015</v>
      </c>
      <c r="L258" s="95">
        <v>73488.600000000006</v>
      </c>
      <c r="M258" s="95">
        <v>0</v>
      </c>
      <c r="N258" s="95">
        <v>0</v>
      </c>
      <c r="O258" s="89"/>
      <c r="P258" s="95">
        <v>0</v>
      </c>
      <c r="Q258" s="89"/>
      <c r="R258" s="95">
        <v>0</v>
      </c>
      <c r="S258" s="95">
        <v>0</v>
      </c>
      <c r="T258" s="95">
        <v>0</v>
      </c>
      <c r="U258" s="95">
        <v>1846613.4600000016</v>
      </c>
      <c r="V258" s="95">
        <v>1809869.16</v>
      </c>
      <c r="W258" s="96">
        <v>0</v>
      </c>
      <c r="X258" s="99">
        <v>1.7000000000000001E-2</v>
      </c>
    </row>
    <row r="259" spans="1:24" x14ac:dyDescent="0.3">
      <c r="A259" s="71">
        <v>35800</v>
      </c>
      <c r="B259" s="88" t="s">
        <v>491</v>
      </c>
      <c r="C259" s="95">
        <v>12363044.739999998</v>
      </c>
      <c r="D259" s="95">
        <v>0</v>
      </c>
      <c r="E259" s="95">
        <v>0</v>
      </c>
      <c r="F259" s="95">
        <v>0</v>
      </c>
      <c r="G259" s="95">
        <v>0</v>
      </c>
      <c r="H259" s="95">
        <v>12363044.739999998</v>
      </c>
      <c r="I259" s="95">
        <v>12363044.74</v>
      </c>
      <c r="J259" s="96">
        <v>0</v>
      </c>
      <c r="K259" s="95">
        <v>3630347.0600000015</v>
      </c>
      <c r="L259" s="95">
        <v>333802.2</v>
      </c>
      <c r="M259" s="95">
        <v>0</v>
      </c>
      <c r="N259" s="95">
        <v>0</v>
      </c>
      <c r="O259" s="89"/>
      <c r="P259" s="95">
        <v>0</v>
      </c>
      <c r="Q259" s="89"/>
      <c r="R259" s="95">
        <v>0</v>
      </c>
      <c r="S259" s="95">
        <v>0</v>
      </c>
      <c r="T259" s="95">
        <v>0</v>
      </c>
      <c r="U259" s="95">
        <v>3964149.2600000016</v>
      </c>
      <c r="V259" s="95">
        <v>3797248.16</v>
      </c>
      <c r="W259" s="96">
        <v>0</v>
      </c>
      <c r="X259" s="99">
        <v>2.7E-2</v>
      </c>
    </row>
    <row r="260" spans="1:24" x14ac:dyDescent="0.3">
      <c r="A260" s="71">
        <v>35900</v>
      </c>
      <c r="B260" s="88" t="s">
        <v>492</v>
      </c>
      <c r="C260" s="95">
        <v>19224506.77</v>
      </c>
      <c r="D260" s="95">
        <v>585438.37</v>
      </c>
      <c r="E260" s="95">
        <v>5854.39</v>
      </c>
      <c r="F260" s="95">
        <v>0</v>
      </c>
      <c r="G260" s="95">
        <v>0</v>
      </c>
      <c r="H260" s="95">
        <v>19815799.530000001</v>
      </c>
      <c r="I260" s="95">
        <v>19566451.91</v>
      </c>
      <c r="J260" s="96">
        <v>3.1999945640563965E-3</v>
      </c>
      <c r="K260" s="95">
        <v>3250517.65</v>
      </c>
      <c r="L260" s="95">
        <v>312730.78999999998</v>
      </c>
      <c r="M260" s="95">
        <v>5854.39</v>
      </c>
      <c r="N260" s="95">
        <v>-12243.52</v>
      </c>
      <c r="O260" s="89"/>
      <c r="P260" s="95">
        <v>0</v>
      </c>
      <c r="Q260" s="89"/>
      <c r="R260" s="95">
        <v>0</v>
      </c>
      <c r="S260" s="95">
        <v>0</v>
      </c>
      <c r="T260" s="95">
        <v>0</v>
      </c>
      <c r="U260" s="95">
        <v>3556859.31</v>
      </c>
      <c r="V260" s="95">
        <v>3401657.2</v>
      </c>
      <c r="W260" s="96">
        <v>-1.9000000320374966E-3</v>
      </c>
      <c r="X260" s="99">
        <v>1.6E-2</v>
      </c>
    </row>
    <row r="261" spans="1:24" x14ac:dyDescent="0.3">
      <c r="A261" s="71">
        <v>35910</v>
      </c>
      <c r="B261" s="88" t="s">
        <v>493</v>
      </c>
      <c r="C261" s="95">
        <v>0</v>
      </c>
      <c r="D261" s="95">
        <v>0</v>
      </c>
      <c r="E261" s="95">
        <v>0</v>
      </c>
      <c r="F261" s="95">
        <v>0</v>
      </c>
      <c r="G261" s="95">
        <v>0</v>
      </c>
      <c r="H261" s="95">
        <v>0</v>
      </c>
      <c r="I261" s="95">
        <v>0</v>
      </c>
      <c r="J261" s="96">
        <v>0</v>
      </c>
      <c r="K261" s="95">
        <v>0</v>
      </c>
      <c r="L261" s="95">
        <v>0</v>
      </c>
      <c r="M261" s="95">
        <v>0</v>
      </c>
      <c r="N261" s="95">
        <v>0</v>
      </c>
      <c r="O261" s="89"/>
      <c r="P261" s="95">
        <v>0</v>
      </c>
      <c r="Q261" s="89"/>
      <c r="R261" s="95">
        <v>0</v>
      </c>
      <c r="S261" s="95">
        <v>0</v>
      </c>
      <c r="T261" s="95">
        <v>0</v>
      </c>
      <c r="U261" s="95">
        <v>0</v>
      </c>
      <c r="V261" s="95">
        <v>0</v>
      </c>
      <c r="W261" s="96">
        <v>0</v>
      </c>
      <c r="X261" s="99">
        <v>0</v>
      </c>
    </row>
    <row r="262" spans="1:24" x14ac:dyDescent="0.3">
      <c r="A262" s="71">
        <v>36000</v>
      </c>
      <c r="B262" s="88" t="s">
        <v>494</v>
      </c>
      <c r="C262" s="95">
        <v>10119782.539999999</v>
      </c>
      <c r="D262" s="95">
        <v>0</v>
      </c>
      <c r="E262" s="95">
        <v>0</v>
      </c>
      <c r="F262" s="95">
        <v>0</v>
      </c>
      <c r="G262" s="95">
        <v>0</v>
      </c>
      <c r="H262" s="95">
        <v>10119782.539999999</v>
      </c>
      <c r="I262" s="95">
        <v>10119782.539999999</v>
      </c>
      <c r="J262" s="96">
        <v>0</v>
      </c>
      <c r="K262" s="95">
        <v>0</v>
      </c>
      <c r="L262" s="95">
        <v>0</v>
      </c>
      <c r="M262" s="95">
        <v>0</v>
      </c>
      <c r="N262" s="95">
        <v>0</v>
      </c>
      <c r="O262" s="89"/>
      <c r="P262" s="95">
        <v>0</v>
      </c>
      <c r="Q262" s="89"/>
      <c r="R262" s="95">
        <v>0</v>
      </c>
      <c r="S262" s="95">
        <v>0</v>
      </c>
      <c r="T262" s="95">
        <v>0</v>
      </c>
      <c r="U262" s="95">
        <v>0</v>
      </c>
      <c r="V262" s="95">
        <v>0</v>
      </c>
      <c r="W262" s="96">
        <v>0</v>
      </c>
      <c r="X262" s="99">
        <v>0</v>
      </c>
    </row>
    <row r="263" spans="1:24" x14ac:dyDescent="0.3">
      <c r="A263" s="71">
        <v>36100</v>
      </c>
      <c r="B263" s="88" t="s">
        <v>495</v>
      </c>
      <c r="C263" s="95">
        <v>34138496.829999983</v>
      </c>
      <c r="D263" s="95">
        <v>0</v>
      </c>
      <c r="E263" s="95">
        <v>0</v>
      </c>
      <c r="F263" s="95">
        <v>0</v>
      </c>
      <c r="G263" s="95">
        <v>0</v>
      </c>
      <c r="H263" s="95">
        <v>34138496.829999983</v>
      </c>
      <c r="I263" s="95">
        <v>34138496.829999998</v>
      </c>
      <c r="J263" s="96">
        <v>0</v>
      </c>
      <c r="K263" s="95">
        <v>9242002.3399999999</v>
      </c>
      <c r="L263" s="95">
        <v>614493</v>
      </c>
      <c r="M263" s="95">
        <v>0</v>
      </c>
      <c r="N263" s="95">
        <v>0</v>
      </c>
      <c r="O263" s="89"/>
      <c r="P263" s="95">
        <v>0</v>
      </c>
      <c r="Q263" s="89"/>
      <c r="R263" s="95">
        <v>0</v>
      </c>
      <c r="S263" s="95">
        <v>0</v>
      </c>
      <c r="T263" s="95">
        <v>0</v>
      </c>
      <c r="U263" s="95">
        <v>9856495.3399999999</v>
      </c>
      <c r="V263" s="95">
        <v>9549248.8399999999</v>
      </c>
      <c r="W263" s="96">
        <v>0</v>
      </c>
      <c r="X263" s="99">
        <v>1.7999999999999999E-2</v>
      </c>
    </row>
    <row r="264" spans="1:24" x14ac:dyDescent="0.3">
      <c r="A264" s="71">
        <v>36200</v>
      </c>
      <c r="B264" s="88" t="s">
        <v>496</v>
      </c>
      <c r="C264" s="95">
        <v>309168666.92000014</v>
      </c>
      <c r="D264" s="95">
        <v>16789194.719999999</v>
      </c>
      <c r="E264" s="95">
        <v>-1511027.52</v>
      </c>
      <c r="F264" s="95">
        <v>0</v>
      </c>
      <c r="G264" s="95">
        <v>0</v>
      </c>
      <c r="H264" s="95">
        <v>324446834.12000012</v>
      </c>
      <c r="I264" s="95">
        <v>317271119.33999997</v>
      </c>
      <c r="J264" s="96">
        <v>4.0000677108764648E-4</v>
      </c>
      <c r="K264" s="95">
        <v>74033563.77000007</v>
      </c>
      <c r="L264" s="95">
        <v>7916828.5700000003</v>
      </c>
      <c r="M264" s="95">
        <v>-1511027.52</v>
      </c>
      <c r="N264" s="95">
        <v>-1347675.77</v>
      </c>
      <c r="O264" s="89"/>
      <c r="P264" s="95">
        <v>277901.82</v>
      </c>
      <c r="Q264" s="89"/>
      <c r="R264" s="95">
        <v>0</v>
      </c>
      <c r="S264" s="95">
        <v>0</v>
      </c>
      <c r="T264" s="95">
        <v>0</v>
      </c>
      <c r="U264" s="95">
        <v>79369590.870000064</v>
      </c>
      <c r="V264" s="95">
        <v>76637973.659999996</v>
      </c>
      <c r="W264" s="96">
        <v>-2.7999579906463623E-3</v>
      </c>
      <c r="X264" s="99">
        <v>2.5000000000000001E-2</v>
      </c>
    </row>
    <row r="265" spans="1:24" x14ac:dyDescent="0.3">
      <c r="A265" s="71">
        <v>36300</v>
      </c>
      <c r="B265" s="88" t="s">
        <v>497</v>
      </c>
      <c r="C265" s="95">
        <v>0</v>
      </c>
      <c r="D265" s="95">
        <v>0</v>
      </c>
      <c r="E265" s="95">
        <v>0</v>
      </c>
      <c r="F265" s="95">
        <v>0</v>
      </c>
      <c r="G265" s="95">
        <v>0</v>
      </c>
      <c r="H265" s="95">
        <v>0</v>
      </c>
      <c r="I265" s="95">
        <v>0</v>
      </c>
      <c r="J265" s="96">
        <v>0</v>
      </c>
      <c r="K265" s="95">
        <v>0</v>
      </c>
      <c r="L265" s="95">
        <v>0</v>
      </c>
      <c r="M265" s="95">
        <v>0</v>
      </c>
      <c r="N265" s="95">
        <v>0</v>
      </c>
      <c r="O265" s="89"/>
      <c r="P265" s="95">
        <v>0</v>
      </c>
      <c r="Q265" s="89"/>
      <c r="R265" s="95">
        <v>0</v>
      </c>
      <c r="S265" s="95">
        <v>0</v>
      </c>
      <c r="T265" s="95">
        <v>0</v>
      </c>
      <c r="U265" s="95">
        <v>0</v>
      </c>
      <c r="V265" s="95">
        <v>0</v>
      </c>
      <c r="W265" s="96">
        <v>0</v>
      </c>
      <c r="X265" s="99">
        <v>0.1</v>
      </c>
    </row>
    <row r="266" spans="1:24" x14ac:dyDescent="0.3">
      <c r="A266" s="71">
        <v>36400</v>
      </c>
      <c r="B266" s="88" t="s">
        <v>498</v>
      </c>
      <c r="C266" s="95">
        <v>398384079.77000022</v>
      </c>
      <c r="D266" s="95">
        <v>76815517.159999996</v>
      </c>
      <c r="E266" s="95">
        <v>-11522327.58</v>
      </c>
      <c r="F266" s="95">
        <v>0</v>
      </c>
      <c r="G266" s="95">
        <v>0</v>
      </c>
      <c r="H266" s="95">
        <v>463677269.3500002</v>
      </c>
      <c r="I266" s="95">
        <v>436491278.16000003</v>
      </c>
      <c r="J266" s="96">
        <v>-2.79998779296875E-3</v>
      </c>
      <c r="K266" s="95">
        <v>190460196.05999988</v>
      </c>
      <c r="L266" s="95">
        <v>16066353.810000001</v>
      </c>
      <c r="M266" s="95">
        <v>-11522327.58</v>
      </c>
      <c r="N266" s="95">
        <v>-6031911.3300000001</v>
      </c>
      <c r="O266" s="89"/>
      <c r="P266" s="95">
        <v>660016.81999999995</v>
      </c>
      <c r="Q266" s="89"/>
      <c r="R266" s="95">
        <v>0</v>
      </c>
      <c r="S266" s="95">
        <v>0</v>
      </c>
      <c r="T266" s="95">
        <v>0</v>
      </c>
      <c r="U266" s="95">
        <v>189632327.77999985</v>
      </c>
      <c r="V266" s="95">
        <v>188863085.78999999</v>
      </c>
      <c r="W266" s="96">
        <v>2.1000206470489502E-3</v>
      </c>
      <c r="X266" s="99">
        <v>3.6999999999999998E-2</v>
      </c>
    </row>
    <row r="267" spans="1:24" x14ac:dyDescent="0.3">
      <c r="A267" s="71">
        <v>36500</v>
      </c>
      <c r="B267" s="88" t="s">
        <v>499</v>
      </c>
      <c r="C267" s="95">
        <v>287448839.73000002</v>
      </c>
      <c r="D267" s="95">
        <v>11117674.289999999</v>
      </c>
      <c r="E267" s="95">
        <v>-3557655.76</v>
      </c>
      <c r="F267" s="95">
        <v>0</v>
      </c>
      <c r="G267" s="95">
        <v>0</v>
      </c>
      <c r="H267" s="95">
        <v>295008858.26000005</v>
      </c>
      <c r="I267" s="95">
        <v>291401760.81999999</v>
      </c>
      <c r="J267" s="96">
        <v>-4.8000216484069824E-3</v>
      </c>
      <c r="K267" s="95">
        <v>149822823.25000003</v>
      </c>
      <c r="L267" s="95">
        <v>6404225.7199999997</v>
      </c>
      <c r="M267" s="95">
        <v>-3557655.76</v>
      </c>
      <c r="N267" s="95">
        <v>-673837.89</v>
      </c>
      <c r="O267" s="89"/>
      <c r="P267" s="95">
        <v>138950.91</v>
      </c>
      <c r="Q267" s="89"/>
      <c r="R267" s="95">
        <v>0</v>
      </c>
      <c r="S267" s="95">
        <v>0</v>
      </c>
      <c r="T267" s="95">
        <v>0</v>
      </c>
      <c r="U267" s="95">
        <v>152134506.23000005</v>
      </c>
      <c r="V267" s="95">
        <v>150890385.68000001</v>
      </c>
      <c r="W267" s="96">
        <v>3.5999715328216553E-3</v>
      </c>
      <c r="X267" s="99">
        <v>2.1999999999999999E-2</v>
      </c>
    </row>
    <row r="268" spans="1:24" x14ac:dyDescent="0.3">
      <c r="A268" s="71">
        <v>36600</v>
      </c>
      <c r="B268" s="88" t="s">
        <v>500</v>
      </c>
      <c r="C268" s="95">
        <v>426864399.1400001</v>
      </c>
      <c r="D268" s="95">
        <v>26840803.190000001</v>
      </c>
      <c r="E268" s="95">
        <v>-268408.03999999998</v>
      </c>
      <c r="F268" s="95">
        <v>0</v>
      </c>
      <c r="G268" s="95">
        <v>0</v>
      </c>
      <c r="H268" s="95">
        <v>453436794.29000008</v>
      </c>
      <c r="I268" s="95">
        <v>440852053.01999998</v>
      </c>
      <c r="J268" s="96">
        <v>4.4001340866088867E-3</v>
      </c>
      <c r="K268" s="95">
        <v>92945234.209999993</v>
      </c>
      <c r="L268" s="95">
        <v>7476656.5099999998</v>
      </c>
      <c r="M268" s="95">
        <v>-268408.03999999998</v>
      </c>
      <c r="N268" s="95">
        <v>-2189973.13</v>
      </c>
      <c r="O268" s="89"/>
      <c r="P268" s="95">
        <v>451590.46</v>
      </c>
      <c r="Q268" s="89"/>
      <c r="R268" s="95">
        <v>0</v>
      </c>
      <c r="S268" s="95">
        <v>0</v>
      </c>
      <c r="T268" s="95">
        <v>0</v>
      </c>
      <c r="U268" s="95">
        <v>98415100.00999999</v>
      </c>
      <c r="V268" s="95">
        <v>95656391.430000007</v>
      </c>
      <c r="W268" s="96">
        <v>-3.2999813556671143E-3</v>
      </c>
      <c r="X268" s="99">
        <v>1.7000000000000001E-2</v>
      </c>
    </row>
    <row r="269" spans="1:24" x14ac:dyDescent="0.3">
      <c r="A269" s="71">
        <v>36700</v>
      </c>
      <c r="B269" s="88" t="s">
        <v>501</v>
      </c>
      <c r="C269" s="95">
        <v>438222911.00000006</v>
      </c>
      <c r="D269" s="95">
        <v>302596335.99000001</v>
      </c>
      <c r="E269" s="95">
        <v>-30259633.600000001</v>
      </c>
      <c r="F269" s="95">
        <v>0</v>
      </c>
      <c r="G269" s="95">
        <v>0</v>
      </c>
      <c r="H269" s="95">
        <v>710559613.38999999</v>
      </c>
      <c r="I269" s="95">
        <v>589919254.82000005</v>
      </c>
      <c r="J269" s="96">
        <v>-8.0001354217529297E-4</v>
      </c>
      <c r="K269" s="95">
        <v>89042610.98999998</v>
      </c>
      <c r="L269" s="95">
        <v>13336915.51</v>
      </c>
      <c r="M269" s="95">
        <v>-30259633.600000001</v>
      </c>
      <c r="N269" s="95">
        <v>-9994340.2400000002</v>
      </c>
      <c r="O269" s="89"/>
      <c r="P269" s="95">
        <v>312639.55</v>
      </c>
      <c r="Q269" s="89"/>
      <c r="R269" s="95">
        <v>0</v>
      </c>
      <c r="S269" s="95">
        <v>0</v>
      </c>
      <c r="T269" s="95">
        <v>0</v>
      </c>
      <c r="U269" s="95">
        <v>62438192.209999971</v>
      </c>
      <c r="V269" s="95">
        <v>73684072.239999995</v>
      </c>
      <c r="W269" s="96">
        <v>-6.8999454379081726E-3</v>
      </c>
      <c r="X269" s="99">
        <v>2.3E-2</v>
      </c>
    </row>
    <row r="270" spans="1:24" x14ac:dyDescent="0.3">
      <c r="A270" s="71">
        <v>36800</v>
      </c>
      <c r="B270" s="88" t="s">
        <v>502</v>
      </c>
      <c r="C270" s="95">
        <v>943725784.40999961</v>
      </c>
      <c r="D270" s="95">
        <v>78457732.409999996</v>
      </c>
      <c r="E270" s="95">
        <v>-9414927.8800000008</v>
      </c>
      <c r="F270" s="95">
        <v>0</v>
      </c>
      <c r="G270" s="95">
        <v>0</v>
      </c>
      <c r="H270" s="95">
        <v>1012768588.9399996</v>
      </c>
      <c r="I270" s="95">
        <v>980069774.00999999</v>
      </c>
      <c r="J270" s="96">
        <v>4.4002532958984375E-3</v>
      </c>
      <c r="K270" s="95">
        <v>336026163.78000027</v>
      </c>
      <c r="L270" s="95">
        <v>43980519.259999998</v>
      </c>
      <c r="M270" s="95">
        <v>-9414927.8800000008</v>
      </c>
      <c r="N270" s="95">
        <v>-6401459.9199999999</v>
      </c>
      <c r="O270" s="89"/>
      <c r="P270" s="95">
        <v>1320033.6499999999</v>
      </c>
      <c r="Q270" s="89"/>
      <c r="R270" s="95">
        <v>0</v>
      </c>
      <c r="S270" s="95">
        <v>0</v>
      </c>
      <c r="T270" s="95">
        <v>0</v>
      </c>
      <c r="U270" s="95">
        <v>365510328.89000022</v>
      </c>
      <c r="V270" s="95">
        <v>350343584.23000002</v>
      </c>
      <c r="W270" s="96">
        <v>-5.8000683784484863E-3</v>
      </c>
      <c r="X270" s="99">
        <v>4.4999999999999998E-2</v>
      </c>
    </row>
    <row r="271" spans="1:24" x14ac:dyDescent="0.3">
      <c r="A271" s="71">
        <v>36900</v>
      </c>
      <c r="B271" s="88" t="s">
        <v>503</v>
      </c>
      <c r="C271" s="95">
        <v>82658993.710000038</v>
      </c>
      <c r="D271" s="95">
        <v>2064677.17</v>
      </c>
      <c r="E271" s="95">
        <v>-206467.71</v>
      </c>
      <c r="F271" s="95">
        <v>0</v>
      </c>
      <c r="G271" s="95">
        <v>0</v>
      </c>
      <c r="H271" s="95">
        <v>84517203.170000046</v>
      </c>
      <c r="I271" s="95">
        <v>83637151.329999998</v>
      </c>
      <c r="J271" s="96">
        <v>-1.1999905109405518E-3</v>
      </c>
      <c r="K271" s="95">
        <v>65364869.860000007</v>
      </c>
      <c r="L271" s="95">
        <v>1587712.46</v>
      </c>
      <c r="M271" s="95">
        <v>-206467.71</v>
      </c>
      <c r="N271" s="95">
        <v>-168459.47</v>
      </c>
      <c r="O271" s="89"/>
      <c r="P271" s="95">
        <v>34737.730000000003</v>
      </c>
      <c r="Q271" s="89"/>
      <c r="R271" s="95">
        <v>0</v>
      </c>
      <c r="S271" s="95">
        <v>0</v>
      </c>
      <c r="T271" s="95">
        <v>0</v>
      </c>
      <c r="U271" s="95">
        <v>66612392.870000005</v>
      </c>
      <c r="V271" s="95">
        <v>65981857.439999998</v>
      </c>
      <c r="W271" s="96">
        <v>-4.1000023484230042E-3</v>
      </c>
      <c r="X271" s="99">
        <v>1.9E-2</v>
      </c>
    </row>
    <row r="272" spans="1:24" x14ac:dyDescent="0.3">
      <c r="A272" s="71">
        <v>36902</v>
      </c>
      <c r="B272" s="88" t="s">
        <v>504</v>
      </c>
      <c r="C272" s="95">
        <v>148445050.32000002</v>
      </c>
      <c r="D272" s="95">
        <v>4129354.34</v>
      </c>
      <c r="E272" s="95">
        <v>-123880.63</v>
      </c>
      <c r="F272" s="95">
        <v>0</v>
      </c>
      <c r="G272" s="95">
        <v>0</v>
      </c>
      <c r="H272" s="95">
        <v>152450524.03000003</v>
      </c>
      <c r="I272" s="95">
        <v>150553523.40000001</v>
      </c>
      <c r="J272" s="96">
        <v>-2.4000108242034912E-3</v>
      </c>
      <c r="K272" s="95">
        <v>71734973.629999921</v>
      </c>
      <c r="L272" s="95">
        <v>3459095.13</v>
      </c>
      <c r="M272" s="95">
        <v>-123880.63</v>
      </c>
      <c r="N272" s="95">
        <v>-336918.94</v>
      </c>
      <c r="O272" s="89"/>
      <c r="P272" s="95">
        <v>69475.460000000006</v>
      </c>
      <c r="Q272" s="89"/>
      <c r="R272" s="95">
        <v>0</v>
      </c>
      <c r="S272" s="95">
        <v>0</v>
      </c>
      <c r="T272" s="95">
        <v>0</v>
      </c>
      <c r="U272" s="95">
        <v>74802744.649999917</v>
      </c>
      <c r="V272" s="95">
        <v>73261408.219999999</v>
      </c>
      <c r="W272" s="96">
        <v>-8.1999897956848145E-3</v>
      </c>
      <c r="X272" s="99">
        <v>2.3E-2</v>
      </c>
    </row>
    <row r="273" spans="1:24" x14ac:dyDescent="0.3">
      <c r="A273" s="71">
        <v>37000</v>
      </c>
      <c r="B273" s="88" t="s">
        <v>505</v>
      </c>
      <c r="C273" s="95">
        <v>18799459.209999971</v>
      </c>
      <c r="D273" s="95">
        <v>0</v>
      </c>
      <c r="E273" s="95">
        <v>0</v>
      </c>
      <c r="F273" s="95">
        <v>0</v>
      </c>
      <c r="G273" s="95">
        <v>0</v>
      </c>
      <c r="H273" s="95">
        <v>18799459.209999971</v>
      </c>
      <c r="I273" s="95">
        <v>18799459.210000001</v>
      </c>
      <c r="J273" s="96">
        <v>0</v>
      </c>
      <c r="K273" s="95">
        <v>3725218.3699999996</v>
      </c>
      <c r="L273" s="95">
        <v>1485157.32</v>
      </c>
      <c r="M273" s="95">
        <v>0</v>
      </c>
      <c r="N273" s="95">
        <v>0</v>
      </c>
      <c r="O273" s="89"/>
      <c r="P273" s="95">
        <v>0</v>
      </c>
      <c r="Q273" s="89"/>
      <c r="R273" s="95">
        <v>0</v>
      </c>
      <c r="S273" s="95">
        <v>0</v>
      </c>
      <c r="T273" s="95">
        <v>0</v>
      </c>
      <c r="U273" s="95">
        <v>5210375.6899999995</v>
      </c>
      <c r="V273" s="95">
        <v>4467797.03</v>
      </c>
      <c r="W273" s="96">
        <v>0</v>
      </c>
      <c r="X273" s="99">
        <v>7.9000000000000001E-2</v>
      </c>
    </row>
    <row r="274" spans="1:24" x14ac:dyDescent="0.3">
      <c r="A274" s="71">
        <v>37001</v>
      </c>
      <c r="B274" s="88" t="s">
        <v>506</v>
      </c>
      <c r="C274" s="95">
        <v>112994204.74999997</v>
      </c>
      <c r="D274" s="95">
        <v>16067090.09</v>
      </c>
      <c r="E274" s="95">
        <v>-8033545.0499999998</v>
      </c>
      <c r="F274" s="95">
        <v>0</v>
      </c>
      <c r="G274" s="95">
        <v>0</v>
      </c>
      <c r="H274" s="95">
        <v>121027749.78999998</v>
      </c>
      <c r="I274" s="95">
        <v>117174486.90000001</v>
      </c>
      <c r="J274" s="96">
        <v>2.7999728918075562E-3</v>
      </c>
      <c r="K274" s="95">
        <v>14566707.630000003</v>
      </c>
      <c r="L274" s="95">
        <v>10166244.199999999</v>
      </c>
      <c r="M274" s="95">
        <v>-8033545.0499999998</v>
      </c>
      <c r="N274" s="95">
        <v>-1037650.02</v>
      </c>
      <c r="O274" s="89"/>
      <c r="P274" s="95">
        <v>345727.63</v>
      </c>
      <c r="Q274" s="89"/>
      <c r="R274" s="95">
        <v>0</v>
      </c>
      <c r="S274" s="95">
        <v>0</v>
      </c>
      <c r="T274" s="95">
        <v>0</v>
      </c>
      <c r="U274" s="95">
        <v>16007484.390000002</v>
      </c>
      <c r="V274" s="95">
        <v>15073237.470000001</v>
      </c>
      <c r="W274" s="96">
        <v>-4.5999996364116669E-3</v>
      </c>
      <c r="X274" s="99">
        <v>8.6999999999999994E-2</v>
      </c>
    </row>
    <row r="275" spans="1:24" x14ac:dyDescent="0.3">
      <c r="A275" s="71">
        <v>37010</v>
      </c>
      <c r="B275" s="88" t="s">
        <v>507</v>
      </c>
      <c r="C275" s="95">
        <v>1850116.38</v>
      </c>
      <c r="D275" s="95">
        <v>3109668.94</v>
      </c>
      <c r="E275" s="95">
        <v>0</v>
      </c>
      <c r="F275" s="95">
        <v>0</v>
      </c>
      <c r="G275" s="95">
        <v>0</v>
      </c>
      <c r="H275" s="95">
        <v>4959785.32</v>
      </c>
      <c r="I275" s="95">
        <v>3246719.52</v>
      </c>
      <c r="J275" s="96">
        <v>0</v>
      </c>
      <c r="K275" s="95">
        <v>104028.58000000002</v>
      </c>
      <c r="L275" s="95">
        <v>310396.40999999997</v>
      </c>
      <c r="M275" s="95">
        <v>0</v>
      </c>
      <c r="N275" s="95">
        <v>-5000</v>
      </c>
      <c r="O275" s="89"/>
      <c r="P275" s="95">
        <v>0</v>
      </c>
      <c r="Q275" s="89"/>
      <c r="R275" s="95">
        <v>0</v>
      </c>
      <c r="S275" s="95">
        <v>0</v>
      </c>
      <c r="T275" s="95">
        <v>0</v>
      </c>
      <c r="U275" s="95">
        <v>409424.99</v>
      </c>
      <c r="V275" s="95">
        <v>233847.05</v>
      </c>
      <c r="W275" s="96">
        <v>0</v>
      </c>
      <c r="X275" s="99">
        <v>0.1</v>
      </c>
    </row>
    <row r="276" spans="1:24" x14ac:dyDescent="0.3">
      <c r="A276" s="71">
        <v>37101</v>
      </c>
      <c r="B276" s="88" t="s">
        <v>508</v>
      </c>
      <c r="C276" s="95">
        <v>0</v>
      </c>
      <c r="D276" s="95">
        <v>0</v>
      </c>
      <c r="E276" s="95">
        <v>0</v>
      </c>
      <c r="F276" s="95">
        <v>0</v>
      </c>
      <c r="G276" s="95">
        <v>0</v>
      </c>
      <c r="H276" s="95">
        <v>0</v>
      </c>
      <c r="I276" s="95">
        <v>0</v>
      </c>
      <c r="J276" s="96">
        <v>0</v>
      </c>
      <c r="K276" s="95">
        <v>0</v>
      </c>
      <c r="L276" s="95">
        <v>0</v>
      </c>
      <c r="M276" s="95">
        <v>0</v>
      </c>
      <c r="N276" s="95">
        <v>0</v>
      </c>
      <c r="O276" s="89"/>
      <c r="P276" s="95">
        <v>0</v>
      </c>
      <c r="Q276" s="89"/>
      <c r="R276" s="95">
        <v>0</v>
      </c>
      <c r="S276" s="95">
        <v>0</v>
      </c>
      <c r="T276" s="95">
        <v>0</v>
      </c>
      <c r="U276" s="95">
        <v>0</v>
      </c>
      <c r="V276" s="95">
        <v>0</v>
      </c>
      <c r="W276" s="96">
        <v>0</v>
      </c>
      <c r="X276" s="99">
        <v>0.1</v>
      </c>
    </row>
    <row r="277" spans="1:24" x14ac:dyDescent="0.3">
      <c r="A277" s="71">
        <v>37102</v>
      </c>
      <c r="B277" s="88" t="s">
        <v>509</v>
      </c>
      <c r="C277" s="95">
        <v>0</v>
      </c>
      <c r="D277" s="95">
        <v>0</v>
      </c>
      <c r="E277" s="95">
        <v>0</v>
      </c>
      <c r="F277" s="95">
        <v>0</v>
      </c>
      <c r="G277" s="95">
        <v>0</v>
      </c>
      <c r="H277" s="95">
        <v>0</v>
      </c>
      <c r="I277" s="95">
        <v>0</v>
      </c>
      <c r="J277" s="96">
        <v>0</v>
      </c>
      <c r="K277" s="95">
        <v>0</v>
      </c>
      <c r="L277" s="95">
        <v>0</v>
      </c>
      <c r="M277" s="95">
        <v>0</v>
      </c>
      <c r="N277" s="95">
        <v>0</v>
      </c>
      <c r="O277" s="89"/>
      <c r="P277" s="95">
        <v>0</v>
      </c>
      <c r="Q277" s="89"/>
      <c r="R277" s="95">
        <v>0</v>
      </c>
      <c r="S277" s="95">
        <v>0</v>
      </c>
      <c r="T277" s="95">
        <v>0</v>
      </c>
      <c r="U277" s="95">
        <v>0</v>
      </c>
      <c r="V277" s="95">
        <v>0</v>
      </c>
      <c r="W277" s="96">
        <v>0</v>
      </c>
      <c r="X277" s="99">
        <v>6.7000000000000004E-2</v>
      </c>
    </row>
    <row r="278" spans="1:24" x14ac:dyDescent="0.3">
      <c r="A278" s="71">
        <v>37103</v>
      </c>
      <c r="B278" s="88" t="s">
        <v>510</v>
      </c>
      <c r="C278" s="95">
        <v>0</v>
      </c>
      <c r="D278" s="95">
        <v>0</v>
      </c>
      <c r="E278" s="95">
        <v>0</v>
      </c>
      <c r="F278" s="95">
        <v>0</v>
      </c>
      <c r="G278" s="95">
        <v>0</v>
      </c>
      <c r="H278" s="95">
        <v>0</v>
      </c>
      <c r="I278" s="95">
        <v>0</v>
      </c>
      <c r="J278" s="96">
        <v>0</v>
      </c>
      <c r="K278" s="95">
        <v>0</v>
      </c>
      <c r="L278" s="95">
        <v>0</v>
      </c>
      <c r="M278" s="95">
        <v>0</v>
      </c>
      <c r="N278" s="95">
        <v>0</v>
      </c>
      <c r="O278" s="89"/>
      <c r="P278" s="95">
        <v>0</v>
      </c>
      <c r="Q278" s="89"/>
      <c r="R278" s="95">
        <v>0</v>
      </c>
      <c r="S278" s="95">
        <v>0</v>
      </c>
      <c r="T278" s="95">
        <v>0</v>
      </c>
      <c r="U278" s="95">
        <v>0</v>
      </c>
      <c r="V278" s="95">
        <v>0</v>
      </c>
      <c r="W278" s="96">
        <v>0</v>
      </c>
      <c r="X278" s="99">
        <v>3.3000000000000002E-2</v>
      </c>
    </row>
    <row r="279" spans="1:24" x14ac:dyDescent="0.3">
      <c r="A279" s="71">
        <v>37300</v>
      </c>
      <c r="B279" s="88" t="s">
        <v>511</v>
      </c>
      <c r="C279" s="95">
        <v>377393883.42999989</v>
      </c>
      <c r="D279" s="95">
        <v>18554166.129999999</v>
      </c>
      <c r="E279" s="95">
        <v>-6493958.1500000004</v>
      </c>
      <c r="F279" s="95">
        <v>0</v>
      </c>
      <c r="G279" s="95">
        <v>0</v>
      </c>
      <c r="H279" s="95">
        <v>389454091.40999991</v>
      </c>
      <c r="I279" s="95">
        <v>383939074.36000001</v>
      </c>
      <c r="J279" s="96">
        <v>0</v>
      </c>
      <c r="K279" s="95">
        <v>123184464.80999997</v>
      </c>
      <c r="L279" s="95">
        <v>10737425.710000001</v>
      </c>
      <c r="M279" s="95">
        <v>-6493958.1500000004</v>
      </c>
      <c r="N279" s="95">
        <v>4351.62</v>
      </c>
      <c r="O279" s="89"/>
      <c r="P279" s="95">
        <v>0</v>
      </c>
      <c r="Q279" s="89"/>
      <c r="R279" s="95">
        <v>0</v>
      </c>
      <c r="S279" s="95">
        <v>0</v>
      </c>
      <c r="T279" s="95">
        <v>0</v>
      </c>
      <c r="U279" s="95">
        <v>127432283.98999998</v>
      </c>
      <c r="V279" s="95">
        <v>125006164.67</v>
      </c>
      <c r="W279" s="96">
        <v>0</v>
      </c>
      <c r="X279" s="99">
        <v>2.8000000000000001E-2</v>
      </c>
    </row>
    <row r="280" spans="1:24" x14ac:dyDescent="0.3">
      <c r="A280" s="71">
        <v>37302</v>
      </c>
      <c r="B280" s="88" t="s">
        <v>512</v>
      </c>
      <c r="C280" s="95">
        <v>11671450.219999999</v>
      </c>
      <c r="D280" s="95">
        <v>10039283.01</v>
      </c>
      <c r="E280" s="95">
        <v>0</v>
      </c>
      <c r="F280" s="95">
        <v>0</v>
      </c>
      <c r="G280" s="95">
        <v>411071.06</v>
      </c>
      <c r="H280" s="95">
        <v>22121804.289999995</v>
      </c>
      <c r="I280" s="95">
        <v>17802265.100000001</v>
      </c>
      <c r="J280" s="96">
        <v>0</v>
      </c>
      <c r="K280" s="95">
        <v>695522.0900000002</v>
      </c>
      <c r="L280" s="95">
        <v>488384.5</v>
      </c>
      <c r="M280" s="95">
        <v>0</v>
      </c>
      <c r="N280" s="95">
        <v>0</v>
      </c>
      <c r="O280" s="89"/>
      <c r="P280" s="95">
        <v>0</v>
      </c>
      <c r="Q280" s="89"/>
      <c r="R280" s="95">
        <v>0</v>
      </c>
      <c r="S280" s="95">
        <v>0</v>
      </c>
      <c r="T280" s="95">
        <v>0</v>
      </c>
      <c r="U280" s="95">
        <v>1183906.5900000003</v>
      </c>
      <c r="V280" s="95">
        <v>920045.89</v>
      </c>
      <c r="W280" s="96">
        <v>0</v>
      </c>
      <c r="X280" s="99">
        <v>2.8000000000000001E-2</v>
      </c>
    </row>
    <row r="281" spans="1:24" x14ac:dyDescent="0.3">
      <c r="A281" s="71">
        <v>37400</v>
      </c>
      <c r="B281" s="88" t="s">
        <v>513</v>
      </c>
      <c r="C281" s="95">
        <v>7160182.2599999998</v>
      </c>
      <c r="D281" s="95">
        <v>0</v>
      </c>
      <c r="E281" s="95">
        <v>0</v>
      </c>
      <c r="F281" s="95">
        <v>0</v>
      </c>
      <c r="G281" s="95">
        <v>0</v>
      </c>
      <c r="H281" s="95">
        <v>7160182.2599999998</v>
      </c>
      <c r="I281" s="95">
        <v>7160182.2599999998</v>
      </c>
      <c r="J281" s="96">
        <v>0</v>
      </c>
      <c r="K281" s="95">
        <v>1767069.6500000006</v>
      </c>
      <c r="L281" s="95">
        <v>100242.6</v>
      </c>
      <c r="M281" s="95">
        <v>0</v>
      </c>
      <c r="N281" s="95">
        <v>0</v>
      </c>
      <c r="O281" s="89"/>
      <c r="P281" s="95">
        <v>0</v>
      </c>
      <c r="Q281" s="89"/>
      <c r="R281" s="95">
        <v>0</v>
      </c>
      <c r="S281" s="95">
        <v>0</v>
      </c>
      <c r="T281" s="95">
        <v>0</v>
      </c>
      <c r="U281" s="95">
        <v>1867312.2500000007</v>
      </c>
      <c r="V281" s="95">
        <v>1817190.95</v>
      </c>
      <c r="W281" s="96">
        <v>0</v>
      </c>
      <c r="X281" s="99">
        <v>1.3999999999999999E-2</v>
      </c>
    </row>
    <row r="282" spans="1:24" x14ac:dyDescent="0.3">
      <c r="A282" s="71">
        <v>38900</v>
      </c>
      <c r="B282" s="88" t="s">
        <v>514</v>
      </c>
      <c r="C282" s="95">
        <v>3286630.42</v>
      </c>
      <c r="D282" s="95">
        <v>0</v>
      </c>
      <c r="E282" s="95">
        <v>0</v>
      </c>
      <c r="F282" s="95">
        <v>0</v>
      </c>
      <c r="G282" s="95">
        <v>0</v>
      </c>
      <c r="H282" s="95">
        <v>3286630.42</v>
      </c>
      <c r="I282" s="95">
        <v>3286630.42</v>
      </c>
      <c r="J282" s="96">
        <v>0</v>
      </c>
      <c r="K282" s="95">
        <v>0</v>
      </c>
      <c r="L282" s="95">
        <v>0</v>
      </c>
      <c r="M282" s="95">
        <v>0</v>
      </c>
      <c r="N282" s="95">
        <v>0</v>
      </c>
      <c r="O282" s="89"/>
      <c r="P282" s="95">
        <v>0</v>
      </c>
      <c r="Q282" s="89"/>
      <c r="R282" s="95">
        <v>0</v>
      </c>
      <c r="S282" s="95">
        <v>0</v>
      </c>
      <c r="T282" s="95">
        <v>0</v>
      </c>
      <c r="U282" s="95">
        <v>0</v>
      </c>
      <c r="V282" s="95">
        <v>0</v>
      </c>
      <c r="W282" s="96">
        <v>0</v>
      </c>
      <c r="X282" s="99">
        <v>0</v>
      </c>
    </row>
    <row r="283" spans="1:24" x14ac:dyDescent="0.3">
      <c r="A283" s="71">
        <v>39000</v>
      </c>
      <c r="B283" s="88" t="s">
        <v>515</v>
      </c>
      <c r="C283" s="95">
        <v>141701821.54999992</v>
      </c>
      <c r="D283" s="95">
        <v>38697704.100000001</v>
      </c>
      <c r="E283" s="95">
        <v>-1958143.41</v>
      </c>
      <c r="F283" s="95">
        <v>0</v>
      </c>
      <c r="G283" s="95">
        <v>0</v>
      </c>
      <c r="H283" s="95">
        <v>178441382.23999992</v>
      </c>
      <c r="I283" s="95">
        <v>152622130.44</v>
      </c>
      <c r="J283" s="96">
        <v>0</v>
      </c>
      <c r="K283" s="95">
        <v>52561390.490000032</v>
      </c>
      <c r="L283" s="95">
        <v>2106587.36</v>
      </c>
      <c r="M283" s="95">
        <v>-1958143.41</v>
      </c>
      <c r="N283" s="95">
        <v>-501952.4</v>
      </c>
      <c r="O283" s="89"/>
      <c r="P283" s="95">
        <v>0</v>
      </c>
      <c r="Q283" s="89"/>
      <c r="R283" s="95">
        <v>0</v>
      </c>
      <c r="S283" s="95">
        <v>0</v>
      </c>
      <c r="T283" s="95">
        <v>0</v>
      </c>
      <c r="U283" s="95">
        <v>52207882.040000036</v>
      </c>
      <c r="V283" s="95">
        <v>52304417.270000003</v>
      </c>
      <c r="W283" s="96">
        <v>0</v>
      </c>
      <c r="X283" s="99">
        <v>1.4E-2</v>
      </c>
    </row>
    <row r="284" spans="1:24" x14ac:dyDescent="0.3">
      <c r="A284" s="71">
        <v>39101</v>
      </c>
      <c r="B284" s="88" t="s">
        <v>516</v>
      </c>
      <c r="C284" s="95">
        <v>7504237.3199999975</v>
      </c>
      <c r="D284" s="95">
        <v>220583.31</v>
      </c>
      <c r="E284" s="95">
        <v>-922565.36</v>
      </c>
      <c r="F284" s="95">
        <v>0</v>
      </c>
      <c r="G284" s="95">
        <v>0</v>
      </c>
      <c r="H284" s="95">
        <v>6802255.2699999968</v>
      </c>
      <c r="I284" s="95">
        <v>6865406.4900000002</v>
      </c>
      <c r="J284" s="96">
        <v>0</v>
      </c>
      <c r="K284" s="95">
        <v>3722439.2400000007</v>
      </c>
      <c r="L284" s="95">
        <v>982505.68</v>
      </c>
      <c r="M284" s="95">
        <v>-922565.36</v>
      </c>
      <c r="N284" s="95">
        <v>0</v>
      </c>
      <c r="O284" s="89"/>
      <c r="P284" s="95">
        <v>0</v>
      </c>
      <c r="Q284" s="89"/>
      <c r="R284" s="95">
        <v>0</v>
      </c>
      <c r="S284" s="95">
        <v>0</v>
      </c>
      <c r="T284" s="95">
        <v>0</v>
      </c>
      <c r="U284" s="95">
        <v>3782379.560000001</v>
      </c>
      <c r="V284" s="95">
        <v>3506133.46</v>
      </c>
      <c r="W284" s="96">
        <v>0</v>
      </c>
      <c r="X284" s="99">
        <v>0.14299999999999999</v>
      </c>
    </row>
    <row r="285" spans="1:24" x14ac:dyDescent="0.3">
      <c r="A285" s="71">
        <v>39102</v>
      </c>
      <c r="B285" s="88" t="s">
        <v>517</v>
      </c>
      <c r="C285" s="95">
        <v>12701327.089999998</v>
      </c>
      <c r="D285" s="95">
        <v>848527.81</v>
      </c>
      <c r="E285" s="95">
        <v>-493551.59</v>
      </c>
      <c r="F285" s="95">
        <v>0</v>
      </c>
      <c r="G285" s="95">
        <v>0</v>
      </c>
      <c r="H285" s="95">
        <v>13056303.309999999</v>
      </c>
      <c r="I285" s="95">
        <v>12611784.48</v>
      </c>
      <c r="J285" s="96">
        <v>0</v>
      </c>
      <c r="K285" s="95">
        <v>5924830.6399999987</v>
      </c>
      <c r="L285" s="95">
        <v>3143685.31</v>
      </c>
      <c r="M285" s="95">
        <v>-493551.59</v>
      </c>
      <c r="N285" s="95">
        <v>0</v>
      </c>
      <c r="O285" s="89"/>
      <c r="P285" s="95">
        <v>0</v>
      </c>
      <c r="Q285" s="89"/>
      <c r="R285" s="95">
        <v>0</v>
      </c>
      <c r="S285" s="95">
        <v>0</v>
      </c>
      <c r="T285" s="95">
        <v>0</v>
      </c>
      <c r="U285" s="95">
        <v>8574964.3599999994</v>
      </c>
      <c r="V285" s="95">
        <v>7188832.79</v>
      </c>
      <c r="W285" s="96">
        <v>0</v>
      </c>
      <c r="X285" s="99">
        <v>0.25</v>
      </c>
    </row>
    <row r="286" spans="1:24" x14ac:dyDescent="0.3">
      <c r="A286" s="71">
        <v>39103</v>
      </c>
      <c r="B286" s="88" t="s">
        <v>518</v>
      </c>
      <c r="C286" s="95">
        <v>0</v>
      </c>
      <c r="D286" s="95">
        <v>0</v>
      </c>
      <c r="E286" s="95">
        <v>0</v>
      </c>
      <c r="F286" s="95">
        <v>0</v>
      </c>
      <c r="G286" s="95">
        <v>0</v>
      </c>
      <c r="H286" s="95">
        <v>0</v>
      </c>
      <c r="I286" s="95">
        <v>0</v>
      </c>
      <c r="J286" s="96">
        <v>0</v>
      </c>
      <c r="K286" s="95">
        <v>0</v>
      </c>
      <c r="L286" s="95">
        <v>0</v>
      </c>
      <c r="M286" s="95">
        <v>0</v>
      </c>
      <c r="N286" s="95">
        <v>0</v>
      </c>
      <c r="O286" s="89"/>
      <c r="P286" s="95">
        <v>0</v>
      </c>
      <c r="Q286" s="89"/>
      <c r="R286" s="95">
        <v>0</v>
      </c>
      <c r="S286" s="95">
        <v>0</v>
      </c>
      <c r="T286" s="95">
        <v>0</v>
      </c>
      <c r="U286" s="95">
        <v>0</v>
      </c>
      <c r="V286" s="95">
        <v>0</v>
      </c>
      <c r="W286" s="96">
        <v>0</v>
      </c>
      <c r="X286" s="99">
        <v>0.14299999999999999</v>
      </c>
    </row>
    <row r="287" spans="1:24" x14ac:dyDescent="0.3">
      <c r="A287" s="71">
        <v>39104</v>
      </c>
      <c r="B287" s="88" t="s">
        <v>519</v>
      </c>
      <c r="C287" s="95">
        <v>49007452.829999976</v>
      </c>
      <c r="D287" s="95">
        <v>10379694.68</v>
      </c>
      <c r="E287" s="95">
        <v>-4025144.4</v>
      </c>
      <c r="F287" s="95">
        <v>0</v>
      </c>
      <c r="G287" s="95">
        <v>0</v>
      </c>
      <c r="H287" s="95">
        <v>55362003.109999977</v>
      </c>
      <c r="I287" s="95">
        <v>51819315.329999998</v>
      </c>
      <c r="J287" s="96">
        <v>0</v>
      </c>
      <c r="K287" s="95">
        <v>17903546.039999999</v>
      </c>
      <c r="L287" s="95">
        <v>10304818.26</v>
      </c>
      <c r="M287" s="95">
        <v>-4025144.4</v>
      </c>
      <c r="N287" s="95">
        <v>0</v>
      </c>
      <c r="O287" s="89"/>
      <c r="P287" s="95">
        <v>0</v>
      </c>
      <c r="Q287" s="89"/>
      <c r="R287" s="95">
        <v>0</v>
      </c>
      <c r="S287" s="95">
        <v>0</v>
      </c>
      <c r="T287" s="95">
        <v>0</v>
      </c>
      <c r="U287" s="95">
        <v>24183219.899999999</v>
      </c>
      <c r="V287" s="95">
        <v>22055193.52</v>
      </c>
      <c r="W287" s="96">
        <v>0</v>
      </c>
      <c r="X287" s="99">
        <v>0.2</v>
      </c>
    </row>
    <row r="288" spans="1:24" x14ac:dyDescent="0.3">
      <c r="A288" s="71">
        <v>39201</v>
      </c>
      <c r="B288" s="88" t="s">
        <v>520</v>
      </c>
      <c r="C288" s="95">
        <v>0</v>
      </c>
      <c r="D288" s="95">
        <v>0</v>
      </c>
      <c r="E288" s="95">
        <v>0</v>
      </c>
      <c r="F288" s="95">
        <v>0</v>
      </c>
      <c r="G288" s="95">
        <v>0</v>
      </c>
      <c r="H288" s="95">
        <v>0</v>
      </c>
      <c r="I288" s="95">
        <v>0</v>
      </c>
      <c r="J288" s="96">
        <v>0</v>
      </c>
      <c r="K288" s="95">
        <v>0</v>
      </c>
      <c r="L288" s="95">
        <v>0</v>
      </c>
      <c r="M288" s="95">
        <v>0</v>
      </c>
      <c r="N288" s="95">
        <v>0</v>
      </c>
      <c r="O288" s="89"/>
      <c r="P288" s="95">
        <v>0</v>
      </c>
      <c r="Q288" s="89"/>
      <c r="R288" s="95">
        <v>0</v>
      </c>
      <c r="S288" s="95">
        <v>0</v>
      </c>
      <c r="T288" s="95">
        <v>0</v>
      </c>
      <c r="U288" s="95">
        <v>0</v>
      </c>
      <c r="V288" s="95">
        <v>0</v>
      </c>
      <c r="W288" s="96">
        <v>0</v>
      </c>
      <c r="X288" s="99">
        <v>0</v>
      </c>
    </row>
    <row r="289" spans="1:24" x14ac:dyDescent="0.3">
      <c r="A289" s="71">
        <v>39202</v>
      </c>
      <c r="B289" s="88" t="s">
        <v>521</v>
      </c>
      <c r="C289" s="95">
        <v>29141697.969999991</v>
      </c>
      <c r="D289" s="95">
        <v>2231836.7999999998</v>
      </c>
      <c r="E289" s="95">
        <v>-334775.52</v>
      </c>
      <c r="F289" s="95">
        <v>0</v>
      </c>
      <c r="G289" s="95">
        <v>0</v>
      </c>
      <c r="H289" s="95">
        <v>31038759.249999993</v>
      </c>
      <c r="I289" s="95">
        <v>30811268.420000002</v>
      </c>
      <c r="J289" s="96">
        <v>0</v>
      </c>
      <c r="K289" s="95">
        <v>5520714.6399999969</v>
      </c>
      <c r="L289" s="95">
        <v>2309423.31</v>
      </c>
      <c r="M289" s="95">
        <v>-334775.52</v>
      </c>
      <c r="N289" s="95">
        <v>0</v>
      </c>
      <c r="O289" s="89"/>
      <c r="P289" s="95">
        <v>112620</v>
      </c>
      <c r="Q289" s="89"/>
      <c r="R289" s="95">
        <v>0</v>
      </c>
      <c r="S289" s="95">
        <v>0</v>
      </c>
      <c r="T289" s="95">
        <v>0</v>
      </c>
      <c r="U289" s="95">
        <v>7607982.4299999978</v>
      </c>
      <c r="V289" s="95">
        <v>6404011.96</v>
      </c>
      <c r="W289" s="96">
        <v>0</v>
      </c>
      <c r="X289" s="99">
        <v>7.4999999999999997E-2</v>
      </c>
    </row>
    <row r="290" spans="1:24" x14ac:dyDescent="0.3">
      <c r="A290" s="71">
        <v>39203</v>
      </c>
      <c r="B290" s="88" t="s">
        <v>522</v>
      </c>
      <c r="C290" s="95">
        <v>80730762.210000008</v>
      </c>
      <c r="D290" s="95">
        <v>0</v>
      </c>
      <c r="E290" s="95">
        <v>0</v>
      </c>
      <c r="F290" s="95">
        <v>0</v>
      </c>
      <c r="G290" s="95">
        <v>0</v>
      </c>
      <c r="H290" s="95">
        <v>80730762.210000008</v>
      </c>
      <c r="I290" s="95">
        <v>80730762.209999993</v>
      </c>
      <c r="J290" s="96">
        <v>0</v>
      </c>
      <c r="K290" s="95">
        <v>23184240.860000003</v>
      </c>
      <c r="L290" s="95">
        <v>4197999.5999999996</v>
      </c>
      <c r="M290" s="95">
        <v>0</v>
      </c>
      <c r="N290" s="95">
        <v>56425</v>
      </c>
      <c r="O290" s="89"/>
      <c r="P290" s="95">
        <v>650000</v>
      </c>
      <c r="Q290" s="89"/>
      <c r="R290" s="95">
        <v>0</v>
      </c>
      <c r="S290" s="95">
        <v>0</v>
      </c>
      <c r="T290" s="95">
        <v>0</v>
      </c>
      <c r="U290" s="95">
        <v>28088665.460000001</v>
      </c>
      <c r="V290" s="95">
        <v>25589727.899999999</v>
      </c>
      <c r="W290" s="96">
        <v>0</v>
      </c>
      <c r="X290" s="99">
        <v>5.1999999999999998E-2</v>
      </c>
    </row>
    <row r="291" spans="1:24" x14ac:dyDescent="0.3">
      <c r="A291" s="71">
        <v>39204</v>
      </c>
      <c r="B291" s="88" t="s">
        <v>523</v>
      </c>
      <c r="C291" s="95">
        <v>0</v>
      </c>
      <c r="D291" s="95">
        <v>0</v>
      </c>
      <c r="E291" s="95">
        <v>0</v>
      </c>
      <c r="F291" s="95">
        <v>0</v>
      </c>
      <c r="G291" s="95">
        <v>0</v>
      </c>
      <c r="H291" s="95">
        <v>0</v>
      </c>
      <c r="I291" s="95">
        <v>0</v>
      </c>
      <c r="J291" s="96">
        <v>0</v>
      </c>
      <c r="K291" s="95">
        <v>0</v>
      </c>
      <c r="L291" s="95">
        <v>0</v>
      </c>
      <c r="M291" s="95">
        <v>0</v>
      </c>
      <c r="N291" s="95">
        <v>0</v>
      </c>
      <c r="O291" s="89"/>
      <c r="P291" s="95">
        <v>0</v>
      </c>
      <c r="Q291" s="89"/>
      <c r="R291" s="95">
        <v>0</v>
      </c>
      <c r="S291" s="95">
        <v>0</v>
      </c>
      <c r="T291" s="95">
        <v>0</v>
      </c>
      <c r="U291" s="95">
        <v>0</v>
      </c>
      <c r="V291" s="95">
        <v>0</v>
      </c>
      <c r="W291" s="96">
        <v>0</v>
      </c>
      <c r="X291" s="99">
        <v>6.5000000000000002E-2</v>
      </c>
    </row>
    <row r="292" spans="1:24" x14ac:dyDescent="0.3">
      <c r="A292" s="71">
        <v>39212</v>
      </c>
      <c r="B292" s="88" t="s">
        <v>524</v>
      </c>
      <c r="C292" s="95">
        <v>6130194.8499999996</v>
      </c>
      <c r="D292" s="95">
        <v>331227.62</v>
      </c>
      <c r="E292" s="95">
        <v>-49684.15</v>
      </c>
      <c r="F292" s="95">
        <v>0</v>
      </c>
      <c r="G292" s="95">
        <v>0</v>
      </c>
      <c r="H292" s="95">
        <v>6411738.3199999994</v>
      </c>
      <c r="I292" s="95">
        <v>6320113.2800000003</v>
      </c>
      <c r="J292" s="96">
        <v>0</v>
      </c>
      <c r="K292" s="95">
        <v>1858044.4800000009</v>
      </c>
      <c r="L292" s="95">
        <v>385061.14</v>
      </c>
      <c r="M292" s="95">
        <v>-49684.15</v>
      </c>
      <c r="N292" s="95">
        <v>0</v>
      </c>
      <c r="O292" s="89"/>
      <c r="P292" s="95">
        <v>0</v>
      </c>
      <c r="Q292" s="89"/>
      <c r="R292" s="95">
        <v>0</v>
      </c>
      <c r="S292" s="95">
        <v>0</v>
      </c>
      <c r="T292" s="95">
        <v>0</v>
      </c>
      <c r="U292" s="95">
        <v>2193421.4700000011</v>
      </c>
      <c r="V292" s="95">
        <v>2015387.52</v>
      </c>
      <c r="W292" s="96">
        <v>0</v>
      </c>
      <c r="X292" s="99">
        <v>6.0999999999999999E-2</v>
      </c>
    </row>
    <row r="293" spans="1:24" x14ac:dyDescent="0.3">
      <c r="A293" s="71">
        <v>39213</v>
      </c>
      <c r="B293" s="88" t="s">
        <v>525</v>
      </c>
      <c r="C293" s="95">
        <v>1071147.3900000001</v>
      </c>
      <c r="D293" s="95">
        <v>0</v>
      </c>
      <c r="E293" s="95">
        <v>0</v>
      </c>
      <c r="F293" s="95">
        <v>0</v>
      </c>
      <c r="G293" s="95">
        <v>0</v>
      </c>
      <c r="H293" s="95">
        <v>1071147.3900000001</v>
      </c>
      <c r="I293" s="95">
        <v>1071147.3899999999</v>
      </c>
      <c r="J293" s="96">
        <v>0</v>
      </c>
      <c r="K293" s="95">
        <v>221788.81000000003</v>
      </c>
      <c r="L293" s="95">
        <v>51415.08</v>
      </c>
      <c r="M293" s="95">
        <v>0</v>
      </c>
      <c r="N293" s="95">
        <v>0</v>
      </c>
      <c r="O293" s="89"/>
      <c r="P293" s="95">
        <v>0</v>
      </c>
      <c r="Q293" s="89"/>
      <c r="R293" s="95">
        <v>0</v>
      </c>
      <c r="S293" s="95">
        <v>0</v>
      </c>
      <c r="T293" s="95">
        <v>0</v>
      </c>
      <c r="U293" s="95">
        <v>273203.89</v>
      </c>
      <c r="V293" s="95">
        <v>247496.35</v>
      </c>
      <c r="W293" s="96">
        <v>0</v>
      </c>
      <c r="X293" s="99">
        <v>4.8000000000000001E-2</v>
      </c>
    </row>
    <row r="294" spans="1:24" x14ac:dyDescent="0.3">
      <c r="A294" s="71">
        <v>39214</v>
      </c>
      <c r="B294" s="88" t="s">
        <v>526</v>
      </c>
      <c r="C294" s="95">
        <v>0</v>
      </c>
      <c r="D294" s="95">
        <v>0</v>
      </c>
      <c r="E294" s="95">
        <v>0</v>
      </c>
      <c r="F294" s="95">
        <v>0</v>
      </c>
      <c r="G294" s="95">
        <v>0</v>
      </c>
      <c r="H294" s="95">
        <v>0</v>
      </c>
      <c r="I294" s="95">
        <v>0</v>
      </c>
      <c r="J294" s="96">
        <v>0</v>
      </c>
      <c r="K294" s="95">
        <v>0</v>
      </c>
      <c r="L294" s="95">
        <v>0</v>
      </c>
      <c r="M294" s="95">
        <v>0</v>
      </c>
      <c r="N294" s="95">
        <v>0</v>
      </c>
      <c r="O294" s="89"/>
      <c r="P294" s="95">
        <v>0</v>
      </c>
      <c r="Q294" s="89"/>
      <c r="R294" s="95">
        <v>0</v>
      </c>
      <c r="S294" s="95">
        <v>0</v>
      </c>
      <c r="T294" s="95">
        <v>0</v>
      </c>
      <c r="U294" s="95">
        <v>0</v>
      </c>
      <c r="V294" s="95">
        <v>0</v>
      </c>
      <c r="W294" s="96">
        <v>0</v>
      </c>
      <c r="X294" s="99">
        <v>4.7E-2</v>
      </c>
    </row>
    <row r="295" spans="1:24" x14ac:dyDescent="0.3">
      <c r="A295" s="71">
        <v>39300</v>
      </c>
      <c r="B295" s="88" t="s">
        <v>527</v>
      </c>
      <c r="C295" s="95">
        <v>0</v>
      </c>
      <c r="D295" s="95">
        <v>0</v>
      </c>
      <c r="E295" s="95">
        <v>0</v>
      </c>
      <c r="F295" s="95">
        <v>0</v>
      </c>
      <c r="G295" s="95">
        <v>0</v>
      </c>
      <c r="H295" s="95">
        <v>0</v>
      </c>
      <c r="I295" s="95">
        <v>0</v>
      </c>
      <c r="J295" s="96">
        <v>0</v>
      </c>
      <c r="K295" s="95">
        <v>0</v>
      </c>
      <c r="L295" s="95">
        <v>0</v>
      </c>
      <c r="M295" s="95">
        <v>0</v>
      </c>
      <c r="N295" s="95">
        <v>0</v>
      </c>
      <c r="O295" s="89"/>
      <c r="P295" s="95">
        <v>0</v>
      </c>
      <c r="Q295" s="89"/>
      <c r="R295" s="95">
        <v>0</v>
      </c>
      <c r="S295" s="95">
        <v>0</v>
      </c>
      <c r="T295" s="95">
        <v>0</v>
      </c>
      <c r="U295" s="95">
        <v>0</v>
      </c>
      <c r="V295" s="95">
        <v>0</v>
      </c>
      <c r="W295" s="96">
        <v>0</v>
      </c>
      <c r="X295" s="99">
        <v>0.14299999999999999</v>
      </c>
    </row>
    <row r="296" spans="1:24" x14ac:dyDescent="0.3">
      <c r="A296" s="71">
        <v>39400</v>
      </c>
      <c r="B296" s="88" t="s">
        <v>528</v>
      </c>
      <c r="C296" s="95">
        <v>14206208.460000001</v>
      </c>
      <c r="D296" s="95">
        <v>4053612.49</v>
      </c>
      <c r="E296" s="95">
        <v>-2113845.69</v>
      </c>
      <c r="F296" s="95">
        <v>0</v>
      </c>
      <c r="G296" s="95">
        <v>0</v>
      </c>
      <c r="H296" s="95">
        <v>16145975.260000004</v>
      </c>
      <c r="I296" s="95">
        <v>15715209.07</v>
      </c>
      <c r="J296" s="96">
        <v>0</v>
      </c>
      <c r="K296" s="95">
        <v>6481697.290000001</v>
      </c>
      <c r="L296" s="95">
        <v>2242141.6</v>
      </c>
      <c r="M296" s="95">
        <v>-2113845.69</v>
      </c>
      <c r="N296" s="95">
        <v>-33999.97</v>
      </c>
      <c r="O296" s="89"/>
      <c r="P296" s="95">
        <v>0</v>
      </c>
      <c r="Q296" s="89"/>
      <c r="R296" s="95">
        <v>0</v>
      </c>
      <c r="S296" s="95">
        <v>0</v>
      </c>
      <c r="T296" s="95">
        <v>0</v>
      </c>
      <c r="U296" s="95">
        <v>6575993.2300000014</v>
      </c>
      <c r="V296" s="95">
        <v>7376739.5199999996</v>
      </c>
      <c r="W296" s="96">
        <v>0</v>
      </c>
      <c r="X296" s="99">
        <v>0.14299999999999999</v>
      </c>
    </row>
    <row r="297" spans="1:24" x14ac:dyDescent="0.3">
      <c r="A297" s="71">
        <v>39401</v>
      </c>
      <c r="B297" s="88" t="s">
        <v>529</v>
      </c>
      <c r="C297" s="95">
        <v>4188533.43</v>
      </c>
      <c r="D297" s="95">
        <v>0</v>
      </c>
      <c r="E297" s="95">
        <v>0</v>
      </c>
      <c r="F297" s="95">
        <v>0</v>
      </c>
      <c r="G297" s="95">
        <v>0</v>
      </c>
      <c r="H297" s="95">
        <v>4188533.43</v>
      </c>
      <c r="I297" s="95">
        <v>4188533.43</v>
      </c>
      <c r="J297" s="96">
        <v>0</v>
      </c>
      <c r="K297" s="95">
        <v>2155526.9899999984</v>
      </c>
      <c r="L297" s="95">
        <v>837706.68</v>
      </c>
      <c r="M297" s="95">
        <v>0</v>
      </c>
      <c r="N297" s="95">
        <v>0</v>
      </c>
      <c r="O297" s="89"/>
      <c r="P297" s="95">
        <v>0</v>
      </c>
      <c r="Q297" s="89"/>
      <c r="R297" s="95">
        <v>0</v>
      </c>
      <c r="S297" s="95">
        <v>0</v>
      </c>
      <c r="T297" s="95">
        <v>0</v>
      </c>
      <c r="U297" s="95">
        <v>2993233.6699999985</v>
      </c>
      <c r="V297" s="95">
        <v>2574380.33</v>
      </c>
      <c r="W297" s="96">
        <v>0</v>
      </c>
      <c r="X297" s="99">
        <v>0.2</v>
      </c>
    </row>
    <row r="298" spans="1:24" x14ac:dyDescent="0.3">
      <c r="A298" s="71">
        <v>39403</v>
      </c>
      <c r="B298" s="88" t="s">
        <v>530</v>
      </c>
      <c r="C298" s="95">
        <v>0</v>
      </c>
      <c r="D298" s="95">
        <v>0</v>
      </c>
      <c r="E298" s="95">
        <v>0</v>
      </c>
      <c r="F298" s="95">
        <v>0</v>
      </c>
      <c r="G298" s="95">
        <v>0</v>
      </c>
      <c r="H298" s="95">
        <v>0</v>
      </c>
      <c r="I298" s="95">
        <v>0</v>
      </c>
      <c r="J298" s="96">
        <v>0</v>
      </c>
      <c r="K298" s="95">
        <v>0</v>
      </c>
      <c r="L298" s="95">
        <v>0</v>
      </c>
      <c r="M298" s="95">
        <v>0</v>
      </c>
      <c r="N298" s="95">
        <v>0</v>
      </c>
      <c r="O298" s="89"/>
      <c r="P298" s="95">
        <v>0</v>
      </c>
      <c r="Q298" s="89"/>
      <c r="R298" s="95">
        <v>0</v>
      </c>
      <c r="S298" s="95">
        <v>0</v>
      </c>
      <c r="T298" s="95">
        <v>0</v>
      </c>
      <c r="U298" s="95">
        <v>0</v>
      </c>
      <c r="V298" s="95">
        <v>0</v>
      </c>
      <c r="W298" s="96">
        <v>0</v>
      </c>
      <c r="X298" s="99">
        <v>0</v>
      </c>
    </row>
    <row r="299" spans="1:24" x14ac:dyDescent="0.3">
      <c r="A299" s="71">
        <v>39500</v>
      </c>
      <c r="B299" s="88" t="s">
        <v>531</v>
      </c>
      <c r="C299" s="95">
        <v>2697174.8600000017</v>
      </c>
      <c r="D299" s="95">
        <v>10745314.800000001</v>
      </c>
      <c r="E299" s="95">
        <v>-638947.68000000005</v>
      </c>
      <c r="F299" s="95">
        <v>0</v>
      </c>
      <c r="G299" s="95">
        <v>0</v>
      </c>
      <c r="H299" s="95">
        <v>12803541.980000002</v>
      </c>
      <c r="I299" s="95">
        <v>6929246.1600000001</v>
      </c>
      <c r="J299" s="96">
        <v>0</v>
      </c>
      <c r="K299" s="95">
        <v>1626088.7399999998</v>
      </c>
      <c r="L299" s="95">
        <v>920880.17</v>
      </c>
      <c r="M299" s="95">
        <v>-638947.68000000005</v>
      </c>
      <c r="N299" s="95">
        <v>0</v>
      </c>
      <c r="O299" s="89"/>
      <c r="P299" s="95">
        <v>0</v>
      </c>
      <c r="Q299" s="89"/>
      <c r="R299" s="95">
        <v>0</v>
      </c>
      <c r="S299" s="95">
        <v>0</v>
      </c>
      <c r="T299" s="95">
        <v>0</v>
      </c>
      <c r="U299" s="95">
        <v>1908021.2299999995</v>
      </c>
      <c r="V299" s="95">
        <v>1474140.8</v>
      </c>
      <c r="W299" s="96">
        <v>0</v>
      </c>
      <c r="X299" s="99">
        <v>0.14299999999999999</v>
      </c>
    </row>
    <row r="300" spans="1:24" x14ac:dyDescent="0.3">
      <c r="A300" s="71">
        <v>39600</v>
      </c>
      <c r="B300" s="88" t="s">
        <v>532</v>
      </c>
      <c r="C300" s="95">
        <v>0</v>
      </c>
      <c r="D300" s="95">
        <v>0</v>
      </c>
      <c r="E300" s="95">
        <v>0</v>
      </c>
      <c r="F300" s="95">
        <v>0</v>
      </c>
      <c r="G300" s="95">
        <v>0</v>
      </c>
      <c r="H300" s="95">
        <v>0</v>
      </c>
      <c r="I300" s="95">
        <v>0</v>
      </c>
      <c r="J300" s="96">
        <v>0</v>
      </c>
      <c r="K300" s="95">
        <v>0</v>
      </c>
      <c r="L300" s="95">
        <v>0</v>
      </c>
      <c r="M300" s="95">
        <v>0</v>
      </c>
      <c r="N300" s="95">
        <v>0</v>
      </c>
      <c r="O300" s="89"/>
      <c r="P300" s="95">
        <v>0</v>
      </c>
      <c r="Q300" s="89"/>
      <c r="R300" s="95">
        <v>0</v>
      </c>
      <c r="S300" s="95">
        <v>0</v>
      </c>
      <c r="T300" s="95">
        <v>0</v>
      </c>
      <c r="U300" s="95">
        <v>0</v>
      </c>
      <c r="V300" s="95">
        <v>0</v>
      </c>
      <c r="W300" s="96">
        <v>0</v>
      </c>
      <c r="X300" s="99">
        <v>0.14299999999999999</v>
      </c>
    </row>
    <row r="301" spans="1:24" x14ac:dyDescent="0.3">
      <c r="A301" s="71">
        <v>39700</v>
      </c>
      <c r="B301" s="88" t="s">
        <v>533</v>
      </c>
      <c r="C301" s="95">
        <v>44098506.14000003</v>
      </c>
      <c r="D301" s="95">
        <v>6137419.1200000001</v>
      </c>
      <c r="E301" s="95">
        <v>-4042629.47</v>
      </c>
      <c r="F301" s="95">
        <v>0</v>
      </c>
      <c r="G301" s="95">
        <v>0</v>
      </c>
      <c r="H301" s="95">
        <v>46193295.790000029</v>
      </c>
      <c r="I301" s="95">
        <v>45170984.060000002</v>
      </c>
      <c r="J301" s="96">
        <v>0</v>
      </c>
      <c r="K301" s="95">
        <v>22736268.879999995</v>
      </c>
      <c r="L301" s="95">
        <v>6447268.1900000004</v>
      </c>
      <c r="M301" s="95">
        <v>-4042629.47</v>
      </c>
      <c r="N301" s="95">
        <v>-2103.7199999999998</v>
      </c>
      <c r="O301" s="89"/>
      <c r="P301" s="95">
        <v>0</v>
      </c>
      <c r="Q301" s="89"/>
      <c r="R301" s="95">
        <v>0</v>
      </c>
      <c r="S301" s="95">
        <v>0</v>
      </c>
      <c r="T301" s="95">
        <v>0</v>
      </c>
      <c r="U301" s="95">
        <v>25138803.879999999</v>
      </c>
      <c r="V301" s="95">
        <v>23653265.82</v>
      </c>
      <c r="W301" s="96">
        <v>0</v>
      </c>
      <c r="X301" s="99">
        <v>0.14299999999999999</v>
      </c>
    </row>
    <row r="302" spans="1:24" x14ac:dyDescent="0.3">
      <c r="A302" s="71">
        <v>39725</v>
      </c>
      <c r="B302" s="88" t="s">
        <v>534</v>
      </c>
      <c r="C302" s="95">
        <v>42158498.280000016</v>
      </c>
      <c r="D302" s="95">
        <v>10299650.050000001</v>
      </c>
      <c r="E302" s="95">
        <v>-679930</v>
      </c>
      <c r="F302" s="95">
        <v>0</v>
      </c>
      <c r="G302" s="95">
        <v>0</v>
      </c>
      <c r="H302" s="95">
        <v>51778218.330000013</v>
      </c>
      <c r="I302" s="95">
        <v>43720194.210000001</v>
      </c>
      <c r="J302" s="96">
        <v>0</v>
      </c>
      <c r="K302" s="95">
        <v>26870945.069999985</v>
      </c>
      <c r="L302" s="95">
        <v>1248412.0900000001</v>
      </c>
      <c r="M302" s="95">
        <v>-679930</v>
      </c>
      <c r="N302" s="95">
        <v>0</v>
      </c>
      <c r="O302" s="89"/>
      <c r="P302" s="95">
        <v>0</v>
      </c>
      <c r="Q302" s="89"/>
      <c r="R302" s="95">
        <v>0</v>
      </c>
      <c r="S302" s="95">
        <v>0</v>
      </c>
      <c r="T302" s="95">
        <v>0</v>
      </c>
      <c r="U302" s="95">
        <v>27439427.159999985</v>
      </c>
      <c r="V302" s="95">
        <v>27233411.079999998</v>
      </c>
      <c r="W302" s="96">
        <v>0</v>
      </c>
      <c r="X302" s="99">
        <v>2.9000000000000001E-2</v>
      </c>
    </row>
    <row r="303" spans="1:24" x14ac:dyDescent="0.3">
      <c r="A303" s="71">
        <v>39800</v>
      </c>
      <c r="B303" s="88" t="s">
        <v>535</v>
      </c>
      <c r="C303" s="95">
        <v>5162276.46</v>
      </c>
      <c r="D303" s="95">
        <v>301661.99</v>
      </c>
      <c r="E303" s="95">
        <v>-195251.41</v>
      </c>
      <c r="F303" s="95">
        <v>0</v>
      </c>
      <c r="G303" s="95">
        <v>0</v>
      </c>
      <c r="H303" s="95">
        <v>5268687.04</v>
      </c>
      <c r="I303" s="95">
        <v>5160492.3899999997</v>
      </c>
      <c r="J303" s="96">
        <v>0</v>
      </c>
      <c r="K303" s="95">
        <v>2205720.2000000002</v>
      </c>
      <c r="L303" s="95">
        <v>736661.07</v>
      </c>
      <c r="M303" s="95">
        <v>-195251.41</v>
      </c>
      <c r="N303" s="95">
        <v>0</v>
      </c>
      <c r="O303" s="89"/>
      <c r="P303" s="95">
        <v>0</v>
      </c>
      <c r="Q303" s="89"/>
      <c r="R303" s="95">
        <v>0</v>
      </c>
      <c r="S303" s="95">
        <v>0</v>
      </c>
      <c r="T303" s="95">
        <v>0</v>
      </c>
      <c r="U303" s="95">
        <v>2747129.86</v>
      </c>
      <c r="V303" s="95">
        <v>2478471.67</v>
      </c>
      <c r="W303" s="96">
        <v>0</v>
      </c>
      <c r="X303" s="99">
        <v>0.14299999999999999</v>
      </c>
    </row>
    <row r="304" spans="1:24" x14ac:dyDescent="0.3">
      <c r="A304" s="71">
        <v>39910</v>
      </c>
      <c r="B304" s="88" t="s">
        <v>536</v>
      </c>
      <c r="C304" s="95">
        <v>269187.51</v>
      </c>
      <c r="D304" s="95">
        <v>0</v>
      </c>
      <c r="E304" s="95">
        <v>0</v>
      </c>
      <c r="F304" s="95">
        <v>0</v>
      </c>
      <c r="G304" s="95">
        <v>0</v>
      </c>
      <c r="H304" s="95">
        <v>269187.51</v>
      </c>
      <c r="I304" s="95">
        <v>269187.51</v>
      </c>
      <c r="J304" s="96">
        <v>0</v>
      </c>
      <c r="K304" s="95">
        <v>129260.04999999999</v>
      </c>
      <c r="L304" s="95">
        <v>11575.08</v>
      </c>
      <c r="M304" s="95">
        <v>0</v>
      </c>
      <c r="N304" s="95">
        <v>0</v>
      </c>
      <c r="O304" s="89"/>
      <c r="P304" s="95">
        <v>0</v>
      </c>
      <c r="Q304" s="89"/>
      <c r="R304" s="95">
        <v>0</v>
      </c>
      <c r="S304" s="95">
        <v>0</v>
      </c>
      <c r="T304" s="95">
        <v>0</v>
      </c>
      <c r="U304" s="95">
        <v>140835.12999999998</v>
      </c>
      <c r="V304" s="95">
        <v>135047.59</v>
      </c>
      <c r="W304" s="96">
        <v>0</v>
      </c>
      <c r="X304" s="99">
        <v>4.2999999999999997E-2</v>
      </c>
    </row>
    <row r="305" spans="1:23" x14ac:dyDescent="0.3">
      <c r="A305" s="71"/>
      <c r="B305" s="97"/>
      <c r="C305" s="55"/>
      <c r="D305" s="95"/>
      <c r="E305" s="95"/>
      <c r="F305" s="95"/>
      <c r="G305" s="95"/>
      <c r="H305" s="95"/>
      <c r="I305" s="95"/>
      <c r="J305" s="96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6"/>
    </row>
    <row r="306" spans="1:23" x14ac:dyDescent="0.3">
      <c r="A306" s="71"/>
      <c r="B306" s="97"/>
      <c r="C306" s="55"/>
      <c r="D306" s="95"/>
      <c r="E306" s="95"/>
      <c r="F306" s="95"/>
      <c r="G306" s="95"/>
      <c r="H306" s="95"/>
      <c r="I306" s="95"/>
      <c r="J306" s="96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6"/>
    </row>
    <row r="307" spans="1:23" x14ac:dyDescent="0.3">
      <c r="A307" s="71"/>
      <c r="B307" s="97"/>
      <c r="C307" s="55"/>
      <c r="D307" s="95"/>
      <c r="E307" s="95"/>
      <c r="F307" s="95"/>
      <c r="G307" s="95"/>
      <c r="H307" s="95"/>
      <c r="I307" s="95"/>
      <c r="J307" s="96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6"/>
    </row>
    <row r="308" spans="1:23" x14ac:dyDescent="0.3">
      <c r="A308" s="71"/>
      <c r="B308" s="97"/>
      <c r="C308" s="55"/>
      <c r="D308" s="95"/>
      <c r="E308" s="95"/>
      <c r="F308" s="95"/>
      <c r="G308" s="95"/>
      <c r="H308" s="95"/>
      <c r="I308" s="95"/>
      <c r="J308" s="96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6"/>
    </row>
    <row r="309" spans="1:23" x14ac:dyDescent="0.3">
      <c r="A309" s="71"/>
      <c r="B309" s="88"/>
      <c r="C309" s="40"/>
      <c r="D309" s="95"/>
      <c r="E309" s="95"/>
      <c r="F309" s="95"/>
      <c r="G309" s="95"/>
      <c r="H309" s="95"/>
      <c r="I309" s="95"/>
      <c r="J309" s="96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6"/>
    </row>
    <row r="310" spans="1:23" ht="15" thickBot="1" x14ac:dyDescent="0.35">
      <c r="A310" s="37"/>
      <c r="B310" s="41" t="s">
        <v>537</v>
      </c>
      <c r="C310" s="42">
        <v>12574125478.399992</v>
      </c>
      <c r="D310" s="42">
        <v>1292252720.2499995</v>
      </c>
      <c r="E310" s="42">
        <v>-163927689.14000005</v>
      </c>
      <c r="F310" s="42">
        <v>0</v>
      </c>
      <c r="G310" s="42">
        <v>411071.06</v>
      </c>
      <c r="H310" s="42">
        <v>13702861580.570005</v>
      </c>
      <c r="I310" s="42">
        <v>13097095080.039997</v>
      </c>
      <c r="J310" s="43">
        <v>-0.10999920911854133</v>
      </c>
      <c r="K310" s="42">
        <v>3713626049.6800017</v>
      </c>
      <c r="L310" s="42">
        <v>470897460.36000007</v>
      </c>
      <c r="M310" s="42">
        <v>-163927689.14000005</v>
      </c>
      <c r="N310" s="42">
        <v>-67962975.430000007</v>
      </c>
      <c r="O310" s="42">
        <v>0</v>
      </c>
      <c r="P310" s="42">
        <v>4373694.0299999993</v>
      </c>
      <c r="Q310" s="42">
        <v>0</v>
      </c>
      <c r="R310" s="42">
        <v>0</v>
      </c>
      <c r="S310" s="42">
        <v>31236531.609999999</v>
      </c>
      <c r="T310" s="42">
        <v>0</v>
      </c>
      <c r="U310" s="42">
        <v>3988243071.1099977</v>
      </c>
      <c r="V310" s="42">
        <v>3838466497.6799994</v>
      </c>
      <c r="W310" s="43">
        <v>1.0450457921251655E-7</v>
      </c>
    </row>
    <row r="311" spans="1:23" ht="15" thickTop="1" x14ac:dyDescent="0.3">
      <c r="A311" s="1"/>
      <c r="B311" s="44"/>
      <c r="C311" s="2">
        <v>0</v>
      </c>
      <c r="D311" s="2">
        <v>0</v>
      </c>
      <c r="E311" s="2">
        <v>0</v>
      </c>
      <c r="F311" s="2">
        <v>0</v>
      </c>
      <c r="G311" s="2">
        <v>0</v>
      </c>
      <c r="H311" s="2">
        <v>-0.11000442504882813</v>
      </c>
      <c r="I311" s="2">
        <v>0</v>
      </c>
      <c r="J311" s="45"/>
      <c r="K311" s="2">
        <v>0</v>
      </c>
      <c r="L311" s="2">
        <v>0</v>
      </c>
      <c r="M311" s="2">
        <v>0</v>
      </c>
      <c r="N311" s="2">
        <v>0</v>
      </c>
      <c r="O311" s="89"/>
      <c r="P311" s="2">
        <v>0</v>
      </c>
      <c r="Q311" s="89"/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45"/>
    </row>
    <row r="312" spans="1:23" x14ac:dyDescent="0.3">
      <c r="A312" s="37">
        <v>105</v>
      </c>
      <c r="B312" s="41" t="s">
        <v>538</v>
      </c>
      <c r="C312" s="47">
        <v>58127610.410000004</v>
      </c>
      <c r="D312" s="47">
        <v>6134789.1200000001</v>
      </c>
      <c r="E312" s="47">
        <v>0</v>
      </c>
      <c r="F312" s="47">
        <v>0</v>
      </c>
      <c r="G312" s="47">
        <v>0</v>
      </c>
      <c r="H312" s="47">
        <v>64262399.530000001</v>
      </c>
      <c r="I312" s="47">
        <v>63405877.289999999</v>
      </c>
      <c r="J312" s="48">
        <v>0</v>
      </c>
      <c r="K312" s="47">
        <v>0</v>
      </c>
      <c r="L312" s="47">
        <v>0</v>
      </c>
      <c r="M312" s="47">
        <v>0</v>
      </c>
      <c r="N312" s="47">
        <v>0</v>
      </c>
      <c r="O312" s="47">
        <v>0</v>
      </c>
      <c r="P312" s="47">
        <v>0</v>
      </c>
      <c r="Q312" s="47">
        <v>0</v>
      </c>
      <c r="R312" s="47">
        <v>0</v>
      </c>
      <c r="S312" s="47">
        <v>0</v>
      </c>
      <c r="T312" s="47">
        <v>0</v>
      </c>
      <c r="U312" s="47">
        <v>0</v>
      </c>
      <c r="V312" s="47">
        <v>0</v>
      </c>
      <c r="W312" s="48">
        <v>0</v>
      </c>
    </row>
    <row r="313" spans="1:23" x14ac:dyDescent="0.3">
      <c r="A313" s="37">
        <v>108</v>
      </c>
      <c r="B313" s="41" t="s">
        <v>539</v>
      </c>
      <c r="C313" s="47">
        <v>0</v>
      </c>
      <c r="D313" s="47">
        <v>0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8">
        <v>0</v>
      </c>
      <c r="K313" s="47">
        <v>98041981.229999959</v>
      </c>
      <c r="L313" s="47">
        <v>8014743</v>
      </c>
      <c r="M313" s="47">
        <v>0</v>
      </c>
      <c r="N313" s="47">
        <v>-23656329</v>
      </c>
      <c r="O313" s="47">
        <v>0</v>
      </c>
      <c r="P313" s="47">
        <v>0</v>
      </c>
      <c r="Q313" s="47">
        <v>0</v>
      </c>
      <c r="R313" s="47">
        <v>0</v>
      </c>
      <c r="S313" s="47">
        <v>31236531.609999999</v>
      </c>
      <c r="T313" s="47">
        <v>0</v>
      </c>
      <c r="U313" s="47">
        <v>113636926.83999996</v>
      </c>
      <c r="V313" s="47">
        <v>107372668.3</v>
      </c>
      <c r="W313" s="48">
        <v>0</v>
      </c>
    </row>
    <row r="314" spans="1:23" x14ac:dyDescent="0.3">
      <c r="A314" s="37" t="s">
        <v>540</v>
      </c>
      <c r="B314" s="41" t="s">
        <v>541</v>
      </c>
      <c r="C314" s="47">
        <v>7484822.7599999998</v>
      </c>
      <c r="D314" s="47">
        <v>0</v>
      </c>
      <c r="E314" s="47">
        <v>0</v>
      </c>
      <c r="F314" s="47">
        <v>0</v>
      </c>
      <c r="G314" s="47">
        <v>0</v>
      </c>
      <c r="H314" s="47">
        <v>7484822.7599999998</v>
      </c>
      <c r="I314" s="47">
        <v>7484822.7599999998</v>
      </c>
      <c r="J314" s="48">
        <v>0</v>
      </c>
      <c r="K314" s="47">
        <v>6646657.4099999983</v>
      </c>
      <c r="L314" s="47">
        <v>236708.76</v>
      </c>
      <c r="M314" s="47">
        <v>0</v>
      </c>
      <c r="N314" s="47">
        <v>0</v>
      </c>
      <c r="O314" s="47">
        <v>0</v>
      </c>
      <c r="P314" s="47">
        <v>0</v>
      </c>
      <c r="Q314" s="47">
        <v>0</v>
      </c>
      <c r="R314" s="47">
        <v>0</v>
      </c>
      <c r="S314" s="47">
        <v>0</v>
      </c>
      <c r="T314" s="47">
        <v>0</v>
      </c>
      <c r="U314" s="47">
        <v>6883366.169999999</v>
      </c>
      <c r="V314" s="47">
        <v>6765011.790000001</v>
      </c>
      <c r="W314" s="48">
        <v>0</v>
      </c>
    </row>
    <row r="315" spans="1:23" x14ac:dyDescent="0.3">
      <c r="A315" s="37" t="s">
        <v>542</v>
      </c>
      <c r="B315" s="41" t="s">
        <v>543</v>
      </c>
      <c r="C315" s="47">
        <v>15957889.099999994</v>
      </c>
      <c r="D315" s="47">
        <v>4096475.04</v>
      </c>
      <c r="E315" s="47">
        <v>-333896.34999999998</v>
      </c>
      <c r="F315" s="47">
        <v>0</v>
      </c>
      <c r="G315" s="47">
        <v>0</v>
      </c>
      <c r="H315" s="47">
        <v>19720467.789999992</v>
      </c>
      <c r="I315" s="47">
        <v>17525462.710000001</v>
      </c>
      <c r="J315" s="48">
        <v>0</v>
      </c>
      <c r="K315" s="49">
        <v>7144756.8499999996</v>
      </c>
      <c r="L315" s="47">
        <v>1058740.3800000001</v>
      </c>
      <c r="M315" s="47">
        <v>-333896.34999999998</v>
      </c>
      <c r="N315" s="47">
        <v>0</v>
      </c>
      <c r="O315" s="47">
        <v>0</v>
      </c>
      <c r="P315" s="47">
        <v>0</v>
      </c>
      <c r="Q315" s="47">
        <v>0</v>
      </c>
      <c r="R315" s="47">
        <v>0</v>
      </c>
      <c r="S315" s="47">
        <v>0</v>
      </c>
      <c r="T315" s="47">
        <v>0</v>
      </c>
      <c r="U315" s="47">
        <v>7869600.8800000008</v>
      </c>
      <c r="V315" s="47">
        <v>7530346.0599999996</v>
      </c>
      <c r="W315" s="48">
        <v>0</v>
      </c>
    </row>
    <row r="316" spans="1:23" x14ac:dyDescent="0.3">
      <c r="A316" s="37" t="s">
        <v>544</v>
      </c>
      <c r="B316" s="50" t="s">
        <v>545</v>
      </c>
      <c r="C316" s="47">
        <v>526082094.59000003</v>
      </c>
      <c r="D316" s="47">
        <v>76304481.649999991</v>
      </c>
      <c r="E316" s="47">
        <v>-20171172.359999999</v>
      </c>
      <c r="F316" s="47">
        <v>0</v>
      </c>
      <c r="G316" s="47">
        <v>0</v>
      </c>
      <c r="H316" s="47">
        <v>582215403.88</v>
      </c>
      <c r="I316" s="47">
        <v>545594788.06999993</v>
      </c>
      <c r="J316" s="48">
        <v>0</v>
      </c>
      <c r="K316" s="47">
        <v>160768005.36000004</v>
      </c>
      <c r="L316" s="47">
        <v>36194240.289999999</v>
      </c>
      <c r="M316" s="47">
        <v>-20171172.359999999</v>
      </c>
      <c r="N316" s="47">
        <v>0</v>
      </c>
      <c r="O316" s="47">
        <v>0</v>
      </c>
      <c r="P316" s="47">
        <v>0</v>
      </c>
      <c r="Q316" s="47">
        <v>0</v>
      </c>
      <c r="R316" s="47">
        <v>0</v>
      </c>
      <c r="S316" s="47">
        <v>0</v>
      </c>
      <c r="T316" s="47">
        <v>0</v>
      </c>
      <c r="U316" s="47">
        <v>176791073.29000008</v>
      </c>
      <c r="V316" s="47">
        <v>166245926.76999998</v>
      </c>
      <c r="W316" s="48">
        <v>0</v>
      </c>
    </row>
    <row r="317" spans="1:23" x14ac:dyDescent="0.3">
      <c r="A317" s="37" t="s">
        <v>546</v>
      </c>
      <c r="B317" s="50" t="s">
        <v>547</v>
      </c>
      <c r="C317" s="47">
        <v>25408521.469999995</v>
      </c>
      <c r="D317" s="47">
        <v>0</v>
      </c>
      <c r="E317" s="47">
        <v>0</v>
      </c>
      <c r="F317" s="47">
        <v>0</v>
      </c>
      <c r="G317" s="47">
        <v>0</v>
      </c>
      <c r="H317" s="47">
        <v>25408521.469999995</v>
      </c>
      <c r="I317" s="47">
        <v>25408521.470000003</v>
      </c>
      <c r="J317" s="48">
        <v>0</v>
      </c>
      <c r="K317" s="47">
        <v>4803776.9799999874</v>
      </c>
      <c r="L317" s="47">
        <v>689491.32</v>
      </c>
      <c r="M317" s="47">
        <v>0</v>
      </c>
      <c r="N317" s="47">
        <v>0</v>
      </c>
      <c r="O317" s="47">
        <v>0</v>
      </c>
      <c r="P317" s="47">
        <v>0</v>
      </c>
      <c r="Q317" s="47">
        <v>0</v>
      </c>
      <c r="R317" s="47">
        <v>0</v>
      </c>
      <c r="S317" s="47">
        <v>0</v>
      </c>
      <c r="T317" s="47">
        <v>0</v>
      </c>
      <c r="U317" s="47">
        <v>5493268.2999999877</v>
      </c>
      <c r="V317" s="47">
        <v>5148522.6399999997</v>
      </c>
      <c r="W317" s="48">
        <v>0</v>
      </c>
    </row>
    <row r="318" spans="1:23" x14ac:dyDescent="0.3">
      <c r="A318" s="37" t="s">
        <v>546</v>
      </c>
      <c r="B318" s="50" t="s">
        <v>548</v>
      </c>
      <c r="C318" s="47">
        <v>1445996034.7199996</v>
      </c>
      <c r="D318" s="47">
        <v>39785325</v>
      </c>
      <c r="E318" s="47">
        <v>-8032778.5500000007</v>
      </c>
      <c r="F318" s="47">
        <v>0</v>
      </c>
      <c r="G318" s="47">
        <v>0</v>
      </c>
      <c r="H318" s="47">
        <v>1477748581.1699996</v>
      </c>
      <c r="I318" s="47">
        <v>1467277045.26</v>
      </c>
      <c r="J318" s="48">
        <v>-1.9999939948320389E-2</v>
      </c>
      <c r="K318" s="47">
        <v>516636252.5200001</v>
      </c>
      <c r="L318" s="47">
        <v>47882364.279999994</v>
      </c>
      <c r="M318" s="47">
        <v>-8032778.5500000007</v>
      </c>
      <c r="N318" s="47">
        <v>-1554960.5</v>
      </c>
      <c r="O318" s="47">
        <v>0</v>
      </c>
      <c r="P318" s="47">
        <v>0</v>
      </c>
      <c r="Q318" s="47">
        <v>0</v>
      </c>
      <c r="R318" s="47">
        <v>0</v>
      </c>
      <c r="S318" s="47">
        <v>0</v>
      </c>
      <c r="T318" s="47">
        <v>0</v>
      </c>
      <c r="U318" s="47">
        <v>554930877.75000024</v>
      </c>
      <c r="V318" s="47">
        <v>534343281.97999996</v>
      </c>
      <c r="W318" s="48">
        <v>2.000000118277967E-2</v>
      </c>
    </row>
    <row r="319" spans="1:23" x14ac:dyDescent="0.3">
      <c r="A319" s="37" t="s">
        <v>546</v>
      </c>
      <c r="B319" s="50" t="s">
        <v>549</v>
      </c>
      <c r="C319" s="47">
        <v>5267931245.5699959</v>
      </c>
      <c r="D319" s="47">
        <v>398985764.47999996</v>
      </c>
      <c r="E319" s="47">
        <v>-38470354.189999998</v>
      </c>
      <c r="F319" s="47">
        <v>0</v>
      </c>
      <c r="G319" s="47">
        <v>0</v>
      </c>
      <c r="H319" s="47">
        <v>5628446655.8599958</v>
      </c>
      <c r="I319" s="47">
        <v>5392775663.1999979</v>
      </c>
      <c r="J319" s="48">
        <v>-8.9999641699250787E-2</v>
      </c>
      <c r="K319" s="47">
        <v>1238504877.8200004</v>
      </c>
      <c r="L319" s="47">
        <v>185757548.78999999</v>
      </c>
      <c r="M319" s="47">
        <v>-38470354.189999998</v>
      </c>
      <c r="N319" s="47">
        <v>-10465783.220000001</v>
      </c>
      <c r="O319" s="47">
        <v>0</v>
      </c>
      <c r="P319" s="47">
        <v>0</v>
      </c>
      <c r="Q319" s="47">
        <v>0</v>
      </c>
      <c r="R319" s="47">
        <v>0</v>
      </c>
      <c r="S319" s="47">
        <v>0</v>
      </c>
      <c r="T319" s="47">
        <v>0</v>
      </c>
      <c r="U319" s="47">
        <v>1375326289.2</v>
      </c>
      <c r="V319" s="47">
        <v>1301266306.4800003</v>
      </c>
      <c r="W319" s="48">
        <v>9.9999829762964509E-3</v>
      </c>
    </row>
    <row r="320" spans="1:23" x14ac:dyDescent="0.3">
      <c r="A320" s="37" t="s">
        <v>546</v>
      </c>
      <c r="B320" s="50" t="s">
        <v>550</v>
      </c>
      <c r="C320" s="47">
        <v>1181464672.1600003</v>
      </c>
      <c r="D320" s="47">
        <v>116117154.75</v>
      </c>
      <c r="E320" s="47">
        <v>-10073187.09</v>
      </c>
      <c r="F320" s="47">
        <v>0</v>
      </c>
      <c r="G320" s="47">
        <v>0</v>
      </c>
      <c r="H320" s="47">
        <v>1287508639.8200002</v>
      </c>
      <c r="I320" s="47">
        <v>1235183482.1400001</v>
      </c>
      <c r="J320" s="48">
        <v>2.9802322387695313E-8</v>
      </c>
      <c r="K320" s="47">
        <v>287158119.77000004</v>
      </c>
      <c r="L320" s="47">
        <v>31118649.890000004</v>
      </c>
      <c r="M320" s="47">
        <v>-10073187.09</v>
      </c>
      <c r="N320" s="47">
        <v>-3621396.53</v>
      </c>
      <c r="O320" s="47">
        <v>0</v>
      </c>
      <c r="P320" s="47">
        <v>0</v>
      </c>
      <c r="Q320" s="47">
        <v>0</v>
      </c>
      <c r="R320" s="47">
        <v>0</v>
      </c>
      <c r="S320" s="47">
        <v>0</v>
      </c>
      <c r="T320" s="47">
        <v>0</v>
      </c>
      <c r="U320" s="47">
        <v>304582186.04000002</v>
      </c>
      <c r="V320" s="47">
        <v>295123724.03000003</v>
      </c>
      <c r="W320" s="48">
        <v>7.3108822107315063E-8</v>
      </c>
    </row>
    <row r="321" spans="1:23" x14ac:dyDescent="0.3">
      <c r="A321" s="37" t="s">
        <v>546</v>
      </c>
      <c r="B321" s="50" t="s">
        <v>551</v>
      </c>
      <c r="C321" s="47">
        <v>3601886118.3600001</v>
      </c>
      <c r="D321" s="47">
        <v>566581497.43999994</v>
      </c>
      <c r="E321" s="47">
        <v>-71391831.920000002</v>
      </c>
      <c r="F321" s="47">
        <v>0</v>
      </c>
      <c r="G321" s="47">
        <v>411071.06</v>
      </c>
      <c r="H321" s="47">
        <v>4097486854.9400001</v>
      </c>
      <c r="I321" s="47">
        <v>3875416199.3600001</v>
      </c>
      <c r="J321" s="48">
        <v>3.4272670745849609E-7</v>
      </c>
      <c r="K321" s="47">
        <v>1220948379.3699999</v>
      </c>
      <c r="L321" s="47">
        <v>124030408.10999998</v>
      </c>
      <c r="M321" s="47">
        <v>-71391831.920000002</v>
      </c>
      <c r="N321" s="47">
        <v>-28182875.09</v>
      </c>
      <c r="O321" s="47">
        <v>0</v>
      </c>
      <c r="P321" s="47">
        <v>3611074.03</v>
      </c>
      <c r="Q321" s="47">
        <v>0</v>
      </c>
      <c r="R321" s="47">
        <v>0</v>
      </c>
      <c r="S321" s="47">
        <v>0</v>
      </c>
      <c r="T321" s="47">
        <v>0</v>
      </c>
      <c r="U321" s="47">
        <v>1249015154.5</v>
      </c>
      <c r="V321" s="47">
        <v>1230569099.6400001</v>
      </c>
      <c r="W321" s="48">
        <v>-2.9999952763319016E-2</v>
      </c>
    </row>
    <row r="322" spans="1:23" x14ac:dyDescent="0.3">
      <c r="A322" s="37" t="s">
        <v>546</v>
      </c>
      <c r="B322" s="50" t="s">
        <v>552</v>
      </c>
      <c r="C322" s="47">
        <v>117073802.42</v>
      </c>
      <c r="D322" s="47">
        <v>2563064.42</v>
      </c>
      <c r="E322" s="47">
        <v>-384459.67000000004</v>
      </c>
      <c r="F322" s="47">
        <v>0</v>
      </c>
      <c r="G322" s="47">
        <v>0</v>
      </c>
      <c r="H322" s="47">
        <v>119252407.17</v>
      </c>
      <c r="I322" s="47">
        <v>118933291.3</v>
      </c>
      <c r="J322" s="48">
        <v>0</v>
      </c>
      <c r="K322" s="47">
        <v>30784788.789999999</v>
      </c>
      <c r="L322" s="47">
        <v>6943899.1299999999</v>
      </c>
      <c r="M322" s="47">
        <v>-384459.67000000004</v>
      </c>
      <c r="N322" s="47">
        <v>56425</v>
      </c>
      <c r="O322" s="47">
        <v>0</v>
      </c>
      <c r="P322" s="47">
        <v>762620</v>
      </c>
      <c r="Q322" s="47">
        <v>0</v>
      </c>
      <c r="R322" s="47">
        <v>0</v>
      </c>
      <c r="S322" s="47">
        <v>0</v>
      </c>
      <c r="T322" s="47">
        <v>0</v>
      </c>
      <c r="U322" s="47">
        <v>38163273.25</v>
      </c>
      <c r="V322" s="47">
        <v>34256623.730000004</v>
      </c>
      <c r="W322" s="48">
        <v>0</v>
      </c>
    </row>
    <row r="323" spans="1:23" x14ac:dyDescent="0.3">
      <c r="A323" s="37" t="s">
        <v>546</v>
      </c>
      <c r="B323" s="51" t="s">
        <v>553</v>
      </c>
      <c r="C323" s="47">
        <v>326712666.83999991</v>
      </c>
      <c r="D323" s="47">
        <v>81684168.350000009</v>
      </c>
      <c r="E323" s="47">
        <v>-15070009.01</v>
      </c>
      <c r="F323" s="47">
        <v>0</v>
      </c>
      <c r="G323" s="47">
        <v>0</v>
      </c>
      <c r="H323" s="47">
        <v>393326826.17999995</v>
      </c>
      <c r="I323" s="47">
        <v>348089926.47999996</v>
      </c>
      <c r="J323" s="48">
        <v>0</v>
      </c>
      <c r="K323" s="47">
        <v>142188453.58000001</v>
      </c>
      <c r="L323" s="47">
        <v>28970666.41</v>
      </c>
      <c r="M323" s="47">
        <v>-15070009.01</v>
      </c>
      <c r="N323" s="47">
        <v>-538056.09000000008</v>
      </c>
      <c r="O323" s="47">
        <v>0</v>
      </c>
      <c r="P323" s="47">
        <v>0</v>
      </c>
      <c r="Q323" s="47">
        <v>0</v>
      </c>
      <c r="R323" s="47">
        <v>0</v>
      </c>
      <c r="S323" s="47">
        <v>0</v>
      </c>
      <c r="T323" s="47">
        <v>0</v>
      </c>
      <c r="U323" s="47">
        <v>155551054.89000005</v>
      </c>
      <c r="V323" s="47">
        <v>149844986.25999999</v>
      </c>
      <c r="W323" s="48">
        <v>0</v>
      </c>
    </row>
    <row r="324" spans="1:23" ht="15" thickBot="1" x14ac:dyDescent="0.35">
      <c r="A324" s="52"/>
      <c r="B324" s="50" t="s">
        <v>554</v>
      </c>
      <c r="C324" s="42">
        <v>12574125478.399996</v>
      </c>
      <c r="D324" s="42">
        <v>1292252720.25</v>
      </c>
      <c r="E324" s="42">
        <v>-163927689.13999999</v>
      </c>
      <c r="F324" s="42">
        <v>0</v>
      </c>
      <c r="G324" s="42">
        <v>411071.06</v>
      </c>
      <c r="H324" s="42">
        <v>13702861580.569996</v>
      </c>
      <c r="I324" s="42">
        <v>13097095080.039997</v>
      </c>
      <c r="J324" s="43">
        <v>-0.10999920911854133</v>
      </c>
      <c r="K324" s="42">
        <v>3713626049.6800003</v>
      </c>
      <c r="L324" s="42">
        <v>470897460.35999995</v>
      </c>
      <c r="M324" s="42">
        <v>-163927689.13999999</v>
      </c>
      <c r="N324" s="42">
        <v>-67962975.430000007</v>
      </c>
      <c r="O324" s="42">
        <v>0</v>
      </c>
      <c r="P324" s="42">
        <v>4373694.0299999993</v>
      </c>
      <c r="Q324" s="42">
        <v>0</v>
      </c>
      <c r="R324" s="42">
        <v>0</v>
      </c>
      <c r="S324" s="42">
        <v>31236531.609999999</v>
      </c>
      <c r="T324" s="42">
        <v>0</v>
      </c>
      <c r="U324" s="42">
        <v>3988243071.1100001</v>
      </c>
      <c r="V324" s="42">
        <v>3838466497.6800003</v>
      </c>
      <c r="W324" s="43">
        <v>1.0450457921251655E-7</v>
      </c>
    </row>
    <row r="325" spans="1:23" ht="15" thickTop="1" x14ac:dyDescent="0.3">
      <c r="A325" s="53"/>
      <c r="B325" s="54" t="s">
        <v>555</v>
      </c>
      <c r="C325" s="55">
        <v>0</v>
      </c>
      <c r="D325" s="55">
        <v>0</v>
      </c>
      <c r="E325" s="55">
        <v>0</v>
      </c>
      <c r="F325" s="55">
        <v>0</v>
      </c>
      <c r="G325" s="55">
        <v>0</v>
      </c>
      <c r="H325" s="55">
        <v>0</v>
      </c>
      <c r="I325" s="55">
        <v>0</v>
      </c>
      <c r="J325" s="56">
        <v>0</v>
      </c>
      <c r="K325" s="55">
        <v>0</v>
      </c>
      <c r="L325" s="55">
        <v>0</v>
      </c>
      <c r="M325" s="55">
        <v>0</v>
      </c>
      <c r="N325" s="55">
        <v>0</v>
      </c>
      <c r="O325" s="55">
        <v>0</v>
      </c>
      <c r="P325" s="55">
        <v>0</v>
      </c>
      <c r="Q325" s="55">
        <v>0</v>
      </c>
      <c r="R325" s="55">
        <v>0</v>
      </c>
      <c r="S325" s="55">
        <v>0</v>
      </c>
      <c r="T325" s="55">
        <v>0</v>
      </c>
      <c r="U325" s="55">
        <v>0</v>
      </c>
      <c r="V325" s="55">
        <v>0</v>
      </c>
      <c r="W325" s="56">
        <v>0</v>
      </c>
    </row>
    <row r="326" spans="1:23" x14ac:dyDescent="0.3">
      <c r="A326" s="1"/>
      <c r="B326" s="44"/>
      <c r="C326" s="2"/>
      <c r="D326" s="2"/>
      <c r="E326" s="2"/>
      <c r="F326" s="2"/>
      <c r="G326" s="2"/>
      <c r="H326" s="2"/>
      <c r="I326" s="2"/>
      <c r="J326" s="45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45"/>
    </row>
    <row r="327" spans="1:23" x14ac:dyDescent="0.3">
      <c r="B327" s="98" t="s">
        <v>556</v>
      </c>
      <c r="C327" s="3">
        <v>-24625685.490009002</v>
      </c>
      <c r="D327" s="3">
        <v>0.10999965667724609</v>
      </c>
      <c r="E327" s="3">
        <v>-2.9802322387695313E-8</v>
      </c>
      <c r="F327" s="55">
        <v>0</v>
      </c>
      <c r="G327" s="3">
        <v>-8114032.7099999981</v>
      </c>
      <c r="H327" s="3">
        <v>-32739718.089997482</v>
      </c>
      <c r="I327" s="3">
        <v>-33366954.230003968</v>
      </c>
      <c r="J327" s="57">
        <v>-1.189112663269043E-5</v>
      </c>
      <c r="K327" s="3">
        <v>0</v>
      </c>
      <c r="L327" s="3">
        <v>0</v>
      </c>
      <c r="M327" s="3">
        <v>0</v>
      </c>
      <c r="N327" s="3">
        <v>2.000001072883606E-2</v>
      </c>
      <c r="O327" s="89"/>
      <c r="P327" s="58">
        <v>-1.999999862164259E-2</v>
      </c>
      <c r="Q327" s="89"/>
      <c r="R327" s="55">
        <v>0</v>
      </c>
      <c r="S327" s="3">
        <v>0</v>
      </c>
      <c r="T327" s="3">
        <v>0</v>
      </c>
      <c r="U327" s="3">
        <v>0</v>
      </c>
      <c r="V327" s="3">
        <v>0</v>
      </c>
      <c r="W327" s="96"/>
    </row>
    <row r="328" spans="1:23" x14ac:dyDescent="0.3">
      <c r="A328" s="71">
        <v>10110</v>
      </c>
      <c r="B328" s="90" t="s">
        <v>557</v>
      </c>
      <c r="C328" s="3">
        <v>3480022.03</v>
      </c>
      <c r="D328" s="95">
        <v>0</v>
      </c>
      <c r="E328" s="95">
        <v>0</v>
      </c>
      <c r="F328" s="95">
        <v>0</v>
      </c>
      <c r="G328" s="95">
        <v>-453915.9200000001</v>
      </c>
      <c r="H328" s="3">
        <v>3026106.11</v>
      </c>
      <c r="I328" s="3">
        <v>3253064.07</v>
      </c>
      <c r="J328" s="57">
        <v>0</v>
      </c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96"/>
    </row>
    <row r="329" spans="1:23" x14ac:dyDescent="0.3">
      <c r="A329" s="71">
        <v>10112</v>
      </c>
      <c r="B329" s="90" t="s">
        <v>558</v>
      </c>
      <c r="C329" s="3">
        <v>20734592.399999999</v>
      </c>
      <c r="D329" s="95">
        <v>0</v>
      </c>
      <c r="E329" s="95">
        <v>0</v>
      </c>
      <c r="F329" s="95">
        <v>0</v>
      </c>
      <c r="G329" s="95">
        <v>8979019.6899999976</v>
      </c>
      <c r="H329" s="3">
        <v>29713612.09</v>
      </c>
      <c r="I329" s="3">
        <v>29924165.07</v>
      </c>
      <c r="J329" s="57">
        <v>0</v>
      </c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6"/>
    </row>
    <row r="330" spans="1:23" x14ac:dyDescent="0.3">
      <c r="A330" s="71">
        <v>10200</v>
      </c>
      <c r="B330" s="90" t="s">
        <v>559</v>
      </c>
      <c r="C330" s="3">
        <v>411071.06</v>
      </c>
      <c r="D330" s="95">
        <v>0</v>
      </c>
      <c r="E330" s="95"/>
      <c r="F330" s="95"/>
      <c r="G330" s="95">
        <v>-411071.06</v>
      </c>
      <c r="H330" s="3">
        <v>0</v>
      </c>
      <c r="I330" s="3">
        <v>189725.1</v>
      </c>
      <c r="J330" s="57">
        <v>0</v>
      </c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6"/>
    </row>
    <row r="331" spans="1:23" x14ac:dyDescent="0.3">
      <c r="B331" s="90" t="s">
        <v>560</v>
      </c>
      <c r="C331" s="95">
        <v>0</v>
      </c>
      <c r="D331" s="95">
        <v>0.11</v>
      </c>
      <c r="E331" s="95">
        <v>0</v>
      </c>
      <c r="F331" s="95">
        <v>0</v>
      </c>
      <c r="G331" s="95">
        <v>0</v>
      </c>
      <c r="H331" s="95">
        <v>0.11</v>
      </c>
      <c r="I331" s="95">
        <v>0.01</v>
      </c>
      <c r="J331" s="57">
        <v>0</v>
      </c>
      <c r="K331" s="95">
        <v>0</v>
      </c>
      <c r="L331" s="95">
        <v>0</v>
      </c>
      <c r="M331" s="95">
        <v>0</v>
      </c>
      <c r="N331" s="95">
        <v>0.02</v>
      </c>
      <c r="O331" s="95">
        <v>0</v>
      </c>
      <c r="P331" s="95">
        <v>-0.02</v>
      </c>
      <c r="Q331" s="95">
        <v>0</v>
      </c>
      <c r="R331" s="95">
        <v>0</v>
      </c>
      <c r="S331" s="95">
        <v>0</v>
      </c>
      <c r="T331" s="95">
        <v>0</v>
      </c>
      <c r="U331" s="95">
        <v>0</v>
      </c>
      <c r="V331" s="95">
        <v>0</v>
      </c>
      <c r="W331" s="96"/>
    </row>
    <row r="332" spans="1:23" x14ac:dyDescent="0.3">
      <c r="A332" s="1"/>
      <c r="B332" s="44"/>
      <c r="C332" s="46"/>
      <c r="D332" s="46"/>
      <c r="E332" s="46"/>
      <c r="F332" s="46"/>
      <c r="G332" s="46"/>
      <c r="H332" s="46"/>
      <c r="I332" s="46"/>
      <c r="J332" s="59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59"/>
    </row>
    <row r="333" spans="1:23" x14ac:dyDescent="0.3">
      <c r="B333" s="101" t="s">
        <v>561</v>
      </c>
      <c r="C333" s="102">
        <v>12582793274.789991</v>
      </c>
      <c r="D333" s="102">
        <v>1288156245.2099996</v>
      </c>
      <c r="E333" s="102">
        <v>-163593792.79000005</v>
      </c>
      <c r="F333" s="102">
        <v>0</v>
      </c>
      <c r="G333" s="102">
        <v>8525103.7699999977</v>
      </c>
      <c r="H333" s="102">
        <v>13715880830.980005</v>
      </c>
      <c r="I333" s="102">
        <v>13112936571.569998</v>
      </c>
      <c r="J333" s="48"/>
      <c r="K333" s="102">
        <v>3706481292.8300018</v>
      </c>
      <c r="L333" s="102">
        <v>469838719.98000008</v>
      </c>
      <c r="M333" s="102">
        <v>-163593792.79000005</v>
      </c>
      <c r="N333" s="102">
        <v>-67962975.430000007</v>
      </c>
      <c r="O333" s="102">
        <v>0</v>
      </c>
      <c r="P333" s="102">
        <v>4373694.0299999993</v>
      </c>
      <c r="Q333" s="102">
        <v>0</v>
      </c>
      <c r="R333" s="102">
        <v>0</v>
      </c>
      <c r="S333" s="102">
        <v>31236531.609999999</v>
      </c>
      <c r="T333" s="102">
        <v>0</v>
      </c>
      <c r="U333" s="102">
        <v>3980373470.2299976</v>
      </c>
      <c r="V333" s="102">
        <v>3830936151.6199994</v>
      </c>
      <c r="W333" s="48"/>
    </row>
    <row r="334" spans="1:23" x14ac:dyDescent="0.3">
      <c r="B334" s="101" t="s">
        <v>230</v>
      </c>
      <c r="C334" s="102">
        <v>0</v>
      </c>
      <c r="D334" s="102">
        <v>0</v>
      </c>
      <c r="E334" s="102">
        <v>0</v>
      </c>
      <c r="F334" s="102">
        <v>0</v>
      </c>
      <c r="G334" s="102">
        <v>0</v>
      </c>
      <c r="H334" s="102">
        <v>0</v>
      </c>
      <c r="I334" s="102">
        <v>0</v>
      </c>
      <c r="J334" s="103"/>
      <c r="K334" s="102">
        <v>0</v>
      </c>
      <c r="L334" s="102">
        <v>0</v>
      </c>
      <c r="M334" s="102">
        <v>0</v>
      </c>
      <c r="N334" s="104">
        <v>0</v>
      </c>
      <c r="O334" s="102">
        <v>0</v>
      </c>
      <c r="P334" s="102">
        <v>0</v>
      </c>
      <c r="Q334" s="102">
        <v>0</v>
      </c>
      <c r="R334" s="102">
        <v>0</v>
      </c>
      <c r="S334" s="102">
        <v>0</v>
      </c>
      <c r="T334" s="102">
        <v>0</v>
      </c>
      <c r="U334" s="102">
        <v>0</v>
      </c>
      <c r="V334" s="102">
        <v>0</v>
      </c>
      <c r="W334" s="103"/>
    </row>
    <row r="335" spans="1:23" x14ac:dyDescent="0.3">
      <c r="A335" s="1"/>
      <c r="B335" s="44"/>
      <c r="C335" s="46"/>
      <c r="D335" s="46"/>
      <c r="E335" s="46"/>
      <c r="F335" s="46"/>
      <c r="G335" s="46"/>
      <c r="H335" s="46"/>
      <c r="I335" s="46"/>
      <c r="J335" s="59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59"/>
    </row>
    <row r="336" spans="1:23" x14ac:dyDescent="0.3">
      <c r="B336" s="107" t="s">
        <v>562</v>
      </c>
      <c r="C336" s="94">
        <v>3</v>
      </c>
      <c r="D336" s="94">
        <v>4</v>
      </c>
      <c r="E336" s="94">
        <v>5</v>
      </c>
      <c r="F336" s="94">
        <v>6</v>
      </c>
      <c r="G336" s="94">
        <v>7</v>
      </c>
      <c r="H336" s="94">
        <v>8</v>
      </c>
      <c r="I336" s="94">
        <v>9</v>
      </c>
      <c r="J336" s="108">
        <v>10</v>
      </c>
      <c r="K336" s="94">
        <v>11</v>
      </c>
      <c r="L336" s="94">
        <v>12</v>
      </c>
      <c r="M336" s="94">
        <v>13</v>
      </c>
      <c r="N336" s="94">
        <v>14</v>
      </c>
      <c r="O336" s="94">
        <v>15</v>
      </c>
      <c r="P336" s="94">
        <v>16</v>
      </c>
      <c r="Q336" s="94">
        <v>17</v>
      </c>
      <c r="R336" s="94">
        <v>18</v>
      </c>
      <c r="S336" s="94">
        <v>19</v>
      </c>
      <c r="T336" s="94">
        <v>20</v>
      </c>
      <c r="U336" s="94">
        <v>21</v>
      </c>
      <c r="V336" s="94">
        <v>22</v>
      </c>
      <c r="W336" s="108">
        <v>23</v>
      </c>
    </row>
    <row r="337" spans="1:23" x14ac:dyDescent="0.3">
      <c r="A337" s="71">
        <v>34300</v>
      </c>
      <c r="B337" s="88" t="s">
        <v>476</v>
      </c>
      <c r="C337" s="95">
        <v>0</v>
      </c>
      <c r="D337" s="95">
        <v>0</v>
      </c>
      <c r="E337" s="95">
        <v>0</v>
      </c>
      <c r="F337" s="95">
        <v>0</v>
      </c>
      <c r="G337" s="95">
        <v>0</v>
      </c>
      <c r="H337" s="95">
        <v>0</v>
      </c>
      <c r="I337" s="95">
        <v>0</v>
      </c>
      <c r="J337" s="96">
        <v>0</v>
      </c>
      <c r="K337" s="95">
        <v>0</v>
      </c>
      <c r="L337" s="95">
        <v>0</v>
      </c>
      <c r="M337" s="95">
        <v>0</v>
      </c>
      <c r="N337" s="95">
        <v>0</v>
      </c>
      <c r="O337" s="95">
        <v>0</v>
      </c>
      <c r="P337" s="95">
        <v>0</v>
      </c>
      <c r="Q337" s="95">
        <v>0</v>
      </c>
      <c r="R337" s="95">
        <v>0</v>
      </c>
      <c r="S337" s="95">
        <v>0</v>
      </c>
      <c r="T337" s="95">
        <v>0</v>
      </c>
      <c r="U337" s="95">
        <v>0</v>
      </c>
      <c r="V337" s="95">
        <v>0</v>
      </c>
      <c r="W337" s="96">
        <v>0</v>
      </c>
    </row>
    <row r="338" spans="1:23" x14ac:dyDescent="0.3">
      <c r="A338" s="71">
        <v>34800</v>
      </c>
      <c r="B338" s="88" t="s">
        <v>477</v>
      </c>
      <c r="C338" s="95">
        <v>0</v>
      </c>
      <c r="D338" s="95">
        <v>0</v>
      </c>
      <c r="E338" s="95">
        <v>0</v>
      </c>
      <c r="F338" s="95">
        <v>0</v>
      </c>
      <c r="G338" s="95">
        <v>0</v>
      </c>
      <c r="H338" s="95">
        <v>0</v>
      </c>
      <c r="I338" s="95">
        <v>0</v>
      </c>
      <c r="J338" s="96">
        <v>0</v>
      </c>
      <c r="K338" s="95">
        <v>0</v>
      </c>
      <c r="L338" s="95">
        <v>0</v>
      </c>
      <c r="M338" s="95">
        <v>0</v>
      </c>
      <c r="N338" s="95">
        <v>0</v>
      </c>
      <c r="O338" s="95">
        <v>0</v>
      </c>
      <c r="P338" s="95">
        <v>0</v>
      </c>
      <c r="Q338" s="95">
        <v>0</v>
      </c>
      <c r="R338" s="95">
        <v>0</v>
      </c>
      <c r="S338" s="95">
        <v>0</v>
      </c>
      <c r="T338" s="95">
        <v>0</v>
      </c>
      <c r="U338" s="95">
        <v>0</v>
      </c>
      <c r="V338" s="95">
        <v>0</v>
      </c>
      <c r="W338" s="96">
        <v>0</v>
      </c>
    </row>
    <row r="339" spans="1:23" x14ac:dyDescent="0.3">
      <c r="A339" s="71">
        <v>37101</v>
      </c>
      <c r="B339" s="88" t="s">
        <v>508</v>
      </c>
      <c r="C339" s="95">
        <v>0</v>
      </c>
      <c r="D339" s="95">
        <v>0</v>
      </c>
      <c r="E339" s="95">
        <v>0</v>
      </c>
      <c r="F339" s="95">
        <v>0</v>
      </c>
      <c r="G339" s="95">
        <v>0</v>
      </c>
      <c r="H339" s="95">
        <v>0</v>
      </c>
      <c r="I339" s="95">
        <v>0</v>
      </c>
      <c r="J339" s="96">
        <v>0</v>
      </c>
      <c r="K339" s="95">
        <v>0</v>
      </c>
      <c r="L339" s="95">
        <v>0</v>
      </c>
      <c r="M339" s="95">
        <v>0</v>
      </c>
      <c r="N339" s="95">
        <v>0</v>
      </c>
      <c r="O339" s="95">
        <v>0</v>
      </c>
      <c r="P339" s="95">
        <v>0</v>
      </c>
      <c r="Q339" s="95">
        <v>0</v>
      </c>
      <c r="R339" s="95">
        <v>0</v>
      </c>
      <c r="S339" s="95">
        <v>0</v>
      </c>
      <c r="T339" s="95">
        <v>0</v>
      </c>
      <c r="U339" s="95">
        <v>0</v>
      </c>
      <c r="V339" s="95">
        <v>0</v>
      </c>
      <c r="W339" s="96">
        <v>0</v>
      </c>
    </row>
    <row r="340" spans="1:23" x14ac:dyDescent="0.3">
      <c r="A340" s="71">
        <v>37102</v>
      </c>
      <c r="B340" s="88" t="s">
        <v>509</v>
      </c>
      <c r="C340" s="95">
        <v>0</v>
      </c>
      <c r="D340" s="95">
        <v>0</v>
      </c>
      <c r="E340" s="95">
        <v>0</v>
      </c>
      <c r="F340" s="95">
        <v>0</v>
      </c>
      <c r="G340" s="95">
        <v>0</v>
      </c>
      <c r="H340" s="95">
        <v>0</v>
      </c>
      <c r="I340" s="95">
        <v>0</v>
      </c>
      <c r="J340" s="96">
        <v>0</v>
      </c>
      <c r="K340" s="95">
        <v>0</v>
      </c>
      <c r="L340" s="95">
        <v>0</v>
      </c>
      <c r="M340" s="95">
        <v>0</v>
      </c>
      <c r="N340" s="95">
        <v>0</v>
      </c>
      <c r="O340" s="95">
        <v>0</v>
      </c>
      <c r="P340" s="95">
        <v>0</v>
      </c>
      <c r="Q340" s="95">
        <v>0</v>
      </c>
      <c r="R340" s="95">
        <v>0</v>
      </c>
      <c r="S340" s="95">
        <v>0</v>
      </c>
      <c r="T340" s="95">
        <v>0</v>
      </c>
      <c r="U340" s="95">
        <v>0</v>
      </c>
      <c r="V340" s="95">
        <v>0</v>
      </c>
      <c r="W340" s="96">
        <v>0</v>
      </c>
    </row>
    <row r="341" spans="1:23" x14ac:dyDescent="0.3">
      <c r="A341" s="71">
        <v>37103</v>
      </c>
      <c r="B341" s="88" t="s">
        <v>510</v>
      </c>
      <c r="C341" s="95">
        <v>0</v>
      </c>
      <c r="D341" s="95">
        <v>0</v>
      </c>
      <c r="E341" s="95">
        <v>0</v>
      </c>
      <c r="F341" s="95">
        <v>0</v>
      </c>
      <c r="G341" s="95">
        <v>0</v>
      </c>
      <c r="H341" s="95">
        <v>0</v>
      </c>
      <c r="I341" s="95">
        <v>0</v>
      </c>
      <c r="J341" s="96">
        <v>0</v>
      </c>
      <c r="K341" s="95">
        <v>0</v>
      </c>
      <c r="L341" s="95">
        <v>0</v>
      </c>
      <c r="M341" s="95">
        <v>0</v>
      </c>
      <c r="N341" s="95">
        <v>0</v>
      </c>
      <c r="O341" s="95">
        <v>0</v>
      </c>
      <c r="P341" s="95">
        <v>0</v>
      </c>
      <c r="Q341" s="95">
        <v>0</v>
      </c>
      <c r="R341" s="95">
        <v>0</v>
      </c>
      <c r="S341" s="95">
        <v>0</v>
      </c>
      <c r="T341" s="95">
        <v>0</v>
      </c>
      <c r="U341" s="95">
        <v>0</v>
      </c>
      <c r="V341" s="95">
        <v>0</v>
      </c>
      <c r="W341" s="96">
        <v>0</v>
      </c>
    </row>
    <row r="342" spans="1:23" ht="15" thickBot="1" x14ac:dyDescent="0.35">
      <c r="B342" s="101" t="s">
        <v>25</v>
      </c>
      <c r="C342" s="105">
        <v>0</v>
      </c>
      <c r="D342" s="105">
        <v>0</v>
      </c>
      <c r="E342" s="105">
        <v>0</v>
      </c>
      <c r="F342" s="105">
        <v>0</v>
      </c>
      <c r="G342" s="105">
        <v>0</v>
      </c>
      <c r="H342" s="105">
        <v>0</v>
      </c>
      <c r="I342" s="105">
        <v>0</v>
      </c>
      <c r="J342" s="106">
        <v>0</v>
      </c>
      <c r="K342" s="105">
        <v>0</v>
      </c>
      <c r="L342" s="105">
        <v>0</v>
      </c>
      <c r="M342" s="105">
        <v>0</v>
      </c>
      <c r="N342" s="105">
        <v>0</v>
      </c>
      <c r="O342" s="105">
        <v>0</v>
      </c>
      <c r="P342" s="105">
        <v>0</v>
      </c>
      <c r="Q342" s="105">
        <v>0</v>
      </c>
      <c r="R342" s="105">
        <v>0</v>
      </c>
      <c r="S342" s="105">
        <v>0</v>
      </c>
      <c r="T342" s="105">
        <v>0</v>
      </c>
      <c r="U342" s="105">
        <v>0</v>
      </c>
      <c r="V342" s="105">
        <v>0</v>
      </c>
      <c r="W342" s="106">
        <v>0</v>
      </c>
    </row>
    <row r="343" spans="1:23" ht="15" thickTop="1" x14ac:dyDescent="0.3">
      <c r="B343" s="101" t="s">
        <v>230</v>
      </c>
      <c r="C343" s="102">
        <v>0</v>
      </c>
      <c r="D343" s="102">
        <v>0</v>
      </c>
      <c r="E343" s="102">
        <v>0</v>
      </c>
      <c r="F343" s="102">
        <v>0</v>
      </c>
      <c r="G343" s="102">
        <v>0</v>
      </c>
      <c r="H343" s="102">
        <v>0</v>
      </c>
      <c r="I343" s="102">
        <v>0</v>
      </c>
      <c r="J343" s="103">
        <v>0</v>
      </c>
      <c r="K343" s="102">
        <v>0</v>
      </c>
      <c r="L343" s="102">
        <v>0</v>
      </c>
      <c r="M343" s="102">
        <v>0</v>
      </c>
      <c r="N343" s="104">
        <v>0</v>
      </c>
      <c r="O343" s="102">
        <v>0</v>
      </c>
      <c r="P343" s="102">
        <v>0</v>
      </c>
      <c r="Q343" s="102">
        <v>0</v>
      </c>
      <c r="R343" s="102">
        <v>0</v>
      </c>
      <c r="S343" s="102">
        <v>0</v>
      </c>
      <c r="T343" s="102">
        <v>0</v>
      </c>
      <c r="U343" s="102">
        <v>0</v>
      </c>
      <c r="V343" s="102">
        <v>0</v>
      </c>
      <c r="W343" s="103">
        <v>0</v>
      </c>
    </row>
    <row r="344" spans="1:23" x14ac:dyDescent="0.3">
      <c r="A344" s="1"/>
      <c r="B344" s="44"/>
      <c r="C344" s="46"/>
      <c r="D344" s="46"/>
      <c r="E344" s="46"/>
      <c r="F344" s="46"/>
      <c r="G344" s="46"/>
      <c r="H344" s="46"/>
      <c r="I344" s="46"/>
      <c r="J344" s="59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59"/>
    </row>
  </sheetData>
  <conditionalFormatting sqref="C331:I331">
    <cfRule type="cellIs" dxfId="3" priority="4" operator="notEqual">
      <formula>0</formula>
    </cfRule>
  </conditionalFormatting>
  <conditionalFormatting sqref="C334:W334">
    <cfRule type="cellIs" dxfId="2" priority="2" operator="notEqual">
      <formula>0</formula>
    </cfRule>
  </conditionalFormatting>
  <conditionalFormatting sqref="C343:W343">
    <cfRule type="cellIs" dxfId="1" priority="1" operator="notEqual">
      <formula>0</formula>
    </cfRule>
  </conditionalFormatting>
  <conditionalFormatting sqref="K331:V331">
    <cfRule type="cellIs" dxfId="0" priority="3" operator="notEqual">
      <formula>0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818-78F5-4E83-BC90-3F879132A7A2}">
  <dimension ref="C2:O15"/>
  <sheetViews>
    <sheetView workbookViewId="0">
      <selection activeCell="G7" sqref="G7"/>
    </sheetView>
  </sheetViews>
  <sheetFormatPr defaultRowHeight="14.4" x14ac:dyDescent="0.3"/>
  <cols>
    <col min="15" max="15" width="35.109375" bestFit="1" customWidth="1"/>
  </cols>
  <sheetData>
    <row r="2" spans="3:15" x14ac:dyDescent="0.3">
      <c r="C2" s="65" t="s">
        <v>563</v>
      </c>
    </row>
    <row r="3" spans="3:15" x14ac:dyDescent="0.3">
      <c r="C3" s="65"/>
    </row>
    <row r="4" spans="3:15" x14ac:dyDescent="0.3">
      <c r="C4" s="66" t="s">
        <v>564</v>
      </c>
    </row>
    <row r="5" spans="3:15" x14ac:dyDescent="0.3">
      <c r="C5" s="66"/>
    </row>
    <row r="6" spans="3:15" x14ac:dyDescent="0.3">
      <c r="C6" s="66"/>
    </row>
    <row r="7" spans="3:15" x14ac:dyDescent="0.3">
      <c r="C7" s="66" t="s">
        <v>565</v>
      </c>
      <c r="G7" s="70" t="s">
        <v>566</v>
      </c>
    </row>
    <row r="9" spans="3:15" x14ac:dyDescent="0.3">
      <c r="C9" s="66" t="s">
        <v>567</v>
      </c>
      <c r="N9" s="68">
        <v>34300</v>
      </c>
      <c r="O9" s="69" t="s">
        <v>476</v>
      </c>
    </row>
    <row r="10" spans="3:15" x14ac:dyDescent="0.3">
      <c r="N10" s="68">
        <v>34800</v>
      </c>
      <c r="O10" s="69" t="s">
        <v>477</v>
      </c>
    </row>
    <row r="11" spans="3:15" x14ac:dyDescent="0.3">
      <c r="C11" s="67" t="s">
        <v>568</v>
      </c>
      <c r="N11" s="68">
        <v>37101</v>
      </c>
      <c r="O11" s="69" t="s">
        <v>508</v>
      </c>
    </row>
    <row r="12" spans="3:15" x14ac:dyDescent="0.3">
      <c r="N12" s="68">
        <v>37102</v>
      </c>
      <c r="O12" s="69" t="s">
        <v>509</v>
      </c>
    </row>
    <row r="13" spans="3:15" x14ac:dyDescent="0.3">
      <c r="C13" s="66" t="s">
        <v>569</v>
      </c>
      <c r="N13" s="68">
        <v>37103</v>
      </c>
      <c r="O13" s="69" t="s">
        <v>510</v>
      </c>
    </row>
    <row r="14" spans="3:15" x14ac:dyDescent="0.3">
      <c r="C14" s="66" t="s">
        <v>570</v>
      </c>
    </row>
    <row r="15" spans="3:15" x14ac:dyDescent="0.3">
      <c r="C15" s="66" t="s">
        <v>571</v>
      </c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A2DDB8-6D58-4AE3-91DA-8797D9BAA955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customXml/itemProps2.xml><?xml version="1.0" encoding="utf-8"?>
<ds:datastoreItem xmlns:ds="http://schemas.openxmlformats.org/officeDocument/2006/customXml" ds:itemID="{7C00AF9F-AD58-4F59-A8FB-1DB7A3638793}"/>
</file>

<file path=customXml/itemProps3.xml><?xml version="1.0" encoding="utf-8"?>
<ds:datastoreItem xmlns:ds="http://schemas.openxmlformats.org/officeDocument/2006/customXml" ds:itemID="{4C164F26-80D4-4FCB-B5CF-6B1BD8FF36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B-07 2024B</vt:lpstr>
      <vt:lpstr>ASDR FY1</vt:lpstr>
      <vt:lpstr>Instructions</vt:lpstr>
      <vt:lpstr>'B-07 2024B'!Print_Area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West, Cedrick</dc:creator>
  <cp:keywords/>
  <dc:description/>
  <cp:lastModifiedBy>Otero, Onixa</cp:lastModifiedBy>
  <cp:revision/>
  <dcterms:created xsi:type="dcterms:W3CDTF">2020-08-11T15:11:46Z</dcterms:created>
  <dcterms:modified xsi:type="dcterms:W3CDTF">2024-04-08T19:07:47Z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2023-05-10T13:11:51Z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8c948b4b-15b8-467f-91ab-fee3ce443be7</vt:lpwstr>
  </property>
  <property fmtid="{D5CDD505-2E9C-101B-9397-08002B2CF9AE}" pid="9" name="MSIP_Label_a83f872e-d8d7-43ac-9961-0f2ad31e50e5_ContentBits">
    <vt:lpwstr>0</vt:lpwstr>
  </property>
  <property fmtid="{D5CDD505-2E9C-101B-9397-08002B2CF9AE}" pid="10" name="Order">
    <vt:r8>762600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